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temp\EDDIE\FSWMG_IC_Responses\WebpageOct2020\"/>
    </mc:Choice>
  </mc:AlternateContent>
  <workbookProtection workbookPassword="CD7E" lockStructure="1"/>
  <bookViews>
    <workbookView showHorizontalScroll="0" showVerticalScroll="0" xWindow="0" yWindow="0" windowWidth="21270" windowHeight="9930" activeTab="3"/>
  </bookViews>
  <sheets>
    <sheet name="BoM Pt IFD" sheetId="1" r:id="rId1"/>
    <sheet name="Pre Dev ToC" sheetId="2" r:id="rId2"/>
    <sheet name="Post Dev ToC" sheetId="4" r:id="rId3"/>
    <sheet name="MRM Peak Flow" sheetId="3" r:id="rId4"/>
    <sheet name="RFFE Peak Flow" sheetId="5" r:id="rId5"/>
  </sheets>
  <definedNames>
    <definedName name="Area">'Pre Dev ToC'!$E$6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4" l="1"/>
  <c r="E14" i="2"/>
  <c r="E11" i="2" l="1"/>
  <c r="E9" i="2"/>
  <c r="F10" i="2"/>
  <c r="C7" i="5" l="1"/>
  <c r="C10" i="5" s="1"/>
  <c r="G14" i="5" s="1"/>
  <c r="B5" i="5"/>
  <c r="C9" i="5" l="1"/>
  <c r="E13" i="2"/>
  <c r="G9" i="5" l="1"/>
  <c r="J14" i="5"/>
  <c r="E12" i="2"/>
  <c r="C7" i="3" s="1"/>
  <c r="N9" i="2" l="1"/>
  <c r="N6" i="2" s="1"/>
  <c r="N7" i="2"/>
  <c r="N8" i="2"/>
  <c r="I14" i="5"/>
  <c r="H14" i="5"/>
  <c r="E5" i="4"/>
  <c r="N5" i="2" l="1"/>
  <c r="C19" i="3"/>
  <c r="E24" i="3" s="1"/>
  <c r="C6" i="3"/>
  <c r="E7" i="4"/>
  <c r="E6" i="4"/>
  <c r="C18" i="3" s="1"/>
  <c r="M4" i="2"/>
  <c r="O4" i="2" l="1"/>
  <c r="M9" i="2"/>
  <c r="M8" i="2"/>
  <c r="M7" i="2"/>
  <c r="M10" i="2"/>
  <c r="H24" i="3"/>
  <c r="C24" i="3"/>
  <c r="M5" i="4"/>
  <c r="F13" i="4" s="1"/>
  <c r="D24" i="3"/>
  <c r="J24" i="3"/>
  <c r="F24" i="3"/>
  <c r="G24" i="3"/>
  <c r="I24" i="3"/>
  <c r="M5" i="2" l="1"/>
  <c r="M6" i="2"/>
  <c r="C12" i="3"/>
  <c r="E12" i="3"/>
  <c r="M8" i="4"/>
  <c r="M11" i="4"/>
  <c r="M10" i="4"/>
  <c r="M9" i="4"/>
  <c r="D12" i="3"/>
  <c r="F12" i="3"/>
  <c r="G12" i="3"/>
  <c r="H12" i="3"/>
  <c r="I12" i="3"/>
  <c r="J12" i="3"/>
  <c r="N12" i="2"/>
  <c r="M12" i="2" l="1"/>
  <c r="D31" i="1" s="1"/>
  <c r="M7" i="4"/>
  <c r="M6" i="4"/>
  <c r="D40" i="1" l="1"/>
  <c r="B37" i="1" s="1"/>
  <c r="I37" i="1" s="1"/>
  <c r="B28" i="1"/>
  <c r="G28" i="1" s="1"/>
  <c r="C5" i="3"/>
  <c r="J37" i="1" l="1"/>
  <c r="D37" i="1"/>
  <c r="H37" i="1"/>
  <c r="K37" i="1"/>
  <c r="F37" i="1"/>
  <c r="B38" i="1"/>
  <c r="H38" i="1" s="1"/>
  <c r="G37" i="1"/>
  <c r="E37" i="1"/>
  <c r="C17" i="3"/>
  <c r="K28" i="1"/>
  <c r="F28" i="1"/>
  <c r="H28" i="1"/>
  <c r="I28" i="1"/>
  <c r="E28" i="1"/>
  <c r="B29" i="1"/>
  <c r="H29" i="1" s="1"/>
  <c r="D28" i="1"/>
  <c r="J28" i="1"/>
  <c r="J38" i="1" l="1"/>
  <c r="K38" i="1"/>
  <c r="D38" i="1"/>
  <c r="H39" i="1" s="1"/>
  <c r="H40" i="1" s="1"/>
  <c r="H41" i="1" s="1"/>
  <c r="H42" i="1" s="1"/>
  <c r="H43" i="1" s="1"/>
  <c r="H44" i="1" s="1"/>
  <c r="G22" i="3" s="1"/>
  <c r="I38" i="1"/>
  <c r="E38" i="1"/>
  <c r="F38" i="1"/>
  <c r="G38" i="1"/>
  <c r="G29" i="1"/>
  <c r="F29" i="1"/>
  <c r="J29" i="1"/>
  <c r="K29" i="1"/>
  <c r="I29" i="1"/>
  <c r="E29" i="1"/>
  <c r="D29" i="1"/>
  <c r="G26" i="3" l="1"/>
  <c r="G25" i="3"/>
  <c r="G39" i="1"/>
  <c r="G40" i="1" s="1"/>
  <c r="G41" i="1" s="1"/>
  <c r="G42" i="1" s="1"/>
  <c r="G43" i="1" s="1"/>
  <c r="G44" i="1" s="1"/>
  <c r="F22" i="3" s="1"/>
  <c r="F39" i="1"/>
  <c r="F40" i="1" s="1"/>
  <c r="F41" i="1" s="1"/>
  <c r="F42" i="1" s="1"/>
  <c r="F43" i="1" s="1"/>
  <c r="F44" i="1" s="1"/>
  <c r="D22" i="3" s="1"/>
  <c r="E39" i="1"/>
  <c r="E40" i="1" s="1"/>
  <c r="E41" i="1" s="1"/>
  <c r="E42" i="1" s="1"/>
  <c r="E43" i="1" s="1"/>
  <c r="E44" i="1" s="1"/>
  <c r="I39" i="1"/>
  <c r="I40" i="1" s="1"/>
  <c r="I41" i="1" s="1"/>
  <c r="I42" i="1" s="1"/>
  <c r="I43" i="1" s="1"/>
  <c r="I44" i="1" s="1"/>
  <c r="H22" i="3" s="1"/>
  <c r="K39" i="1"/>
  <c r="K40" i="1" s="1"/>
  <c r="K41" i="1" s="1"/>
  <c r="K42" i="1" s="1"/>
  <c r="K43" i="1" s="1"/>
  <c r="K44" i="1" s="1"/>
  <c r="J22" i="3" s="1"/>
  <c r="J39" i="1"/>
  <c r="J40" i="1" s="1"/>
  <c r="J41" i="1" s="1"/>
  <c r="J42" i="1" s="1"/>
  <c r="J43" i="1" s="1"/>
  <c r="J44" i="1" s="1"/>
  <c r="I22" i="3" s="1"/>
  <c r="J30" i="1"/>
  <c r="J31" i="1" s="1"/>
  <c r="J32" i="1" s="1"/>
  <c r="F30" i="1"/>
  <c r="F31" i="1" s="1"/>
  <c r="F32" i="1" s="1"/>
  <c r="F33" i="1" s="1"/>
  <c r="F34" i="1" s="1"/>
  <c r="I30" i="1"/>
  <c r="I31" i="1" s="1"/>
  <c r="I32" i="1" s="1"/>
  <c r="E30" i="1"/>
  <c r="E31" i="1" s="1"/>
  <c r="E32" i="1" s="1"/>
  <c r="E33" i="1" s="1"/>
  <c r="E34" i="1" s="1"/>
  <c r="G30" i="1"/>
  <c r="G31" i="1" s="1"/>
  <c r="G32" i="1" s="1"/>
  <c r="G33" i="1" s="1"/>
  <c r="G34" i="1" s="1"/>
  <c r="H30" i="1"/>
  <c r="H31" i="1" s="1"/>
  <c r="H32" i="1" s="1"/>
  <c r="K30" i="1"/>
  <c r="K31" i="1" s="1"/>
  <c r="K32" i="1" s="1"/>
  <c r="K33" i="1" s="1"/>
  <c r="K34" i="1" s="1"/>
  <c r="J26" i="3" l="1"/>
  <c r="J25" i="3"/>
  <c r="I25" i="3"/>
  <c r="I26" i="3"/>
  <c r="D25" i="3"/>
  <c r="D26" i="3"/>
  <c r="H26" i="3"/>
  <c r="H25" i="3"/>
  <c r="F26" i="3"/>
  <c r="F25" i="3"/>
  <c r="E22" i="3"/>
  <c r="C22" i="3"/>
  <c r="C25" i="3" s="1"/>
  <c r="J33" i="1"/>
  <c r="J34" i="1" s="1"/>
  <c r="J35" i="1" s="1"/>
  <c r="H33" i="1"/>
  <c r="H34" i="1" s="1"/>
  <c r="H35" i="1" s="1"/>
  <c r="I33" i="1"/>
  <c r="I34" i="1" s="1"/>
  <c r="I35" i="1" s="1"/>
  <c r="F35" i="1"/>
  <c r="E35" i="1"/>
  <c r="K35" i="1"/>
  <c r="G35" i="1"/>
  <c r="J10" i="3" l="1"/>
  <c r="J14" i="3" s="1"/>
  <c r="E26" i="3"/>
  <c r="E25" i="3"/>
  <c r="C26" i="3"/>
  <c r="C10" i="3"/>
  <c r="C14" i="3" s="1"/>
  <c r="D10" i="3"/>
  <c r="D14" i="3" s="1"/>
  <c r="G10" i="3"/>
  <c r="G14" i="3" s="1"/>
  <c r="F10" i="3"/>
  <c r="F14" i="3" s="1"/>
  <c r="H10" i="3"/>
  <c r="H14" i="3" s="1"/>
  <c r="I10" i="3"/>
  <c r="I14" i="3" s="1"/>
  <c r="J13" i="3" l="1"/>
  <c r="J13" i="5" s="1"/>
  <c r="C13" i="3"/>
  <c r="C13" i="5" s="1"/>
  <c r="I13" i="3"/>
  <c r="I13" i="5" s="1"/>
  <c r="H13" i="3"/>
  <c r="H13" i="5" s="1"/>
  <c r="G13" i="3"/>
  <c r="G13" i="5" s="1"/>
  <c r="D13" i="3"/>
  <c r="D13" i="5" s="1"/>
  <c r="E10" i="3"/>
  <c r="E14" i="3" s="1"/>
  <c r="F13" i="3"/>
  <c r="F13" i="5" s="1"/>
  <c r="G10" i="5" l="1"/>
  <c r="J10" i="5"/>
  <c r="E13" i="3"/>
  <c r="E13" i="5" s="1"/>
  <c r="C14" i="5" l="1"/>
  <c r="D14" i="5"/>
  <c r="E14" i="5"/>
  <c r="F14" i="5"/>
</calcChain>
</file>

<file path=xl/sharedStrings.xml><?xml version="1.0" encoding="utf-8"?>
<sst xmlns="http://schemas.openxmlformats.org/spreadsheetml/2006/main" count="136" uniqueCount="83">
  <si>
    <t>ToC</t>
  </si>
  <si>
    <t>Intensity</t>
  </si>
  <si>
    <t>Annual Exceedance Probability (AEP)</t>
  </si>
  <si>
    <t>Duration</t>
  </si>
  <si>
    <t>50%#</t>
  </si>
  <si>
    <t>20%*</t>
  </si>
  <si>
    <t>1 min</t>
  </si>
  <si>
    <t>2 min</t>
  </si>
  <si>
    <t>3 min</t>
  </si>
  <si>
    <t>4 min</t>
  </si>
  <si>
    <t>5 min</t>
  </si>
  <si>
    <t>10 min</t>
  </si>
  <si>
    <t>15 min</t>
  </si>
  <si>
    <t>30 min</t>
  </si>
  <si>
    <t>1 hour</t>
  </si>
  <si>
    <t>2 hour</t>
  </si>
  <si>
    <t>3 hour</t>
  </si>
  <si>
    <t>6 hour</t>
  </si>
  <si>
    <t>12 hour</t>
  </si>
  <si>
    <t>24 hour</t>
  </si>
  <si>
    <t>48 hour</t>
  </si>
  <si>
    <t>72 hour</t>
  </si>
  <si>
    <t>96 hour</t>
  </si>
  <si>
    <t>120 hour</t>
  </si>
  <si>
    <t>144 hour</t>
  </si>
  <si>
    <t>168 hour</t>
  </si>
  <si>
    <t>km</t>
  </si>
  <si>
    <t>Area</t>
  </si>
  <si>
    <t>ha</t>
  </si>
  <si>
    <t>Slope</t>
  </si>
  <si>
    <t>%</t>
  </si>
  <si>
    <t>Impervious fraction</t>
  </si>
  <si>
    <t>(decimal)</t>
  </si>
  <si>
    <t>Parameters</t>
  </si>
  <si>
    <t>CF</t>
  </si>
  <si>
    <t>a</t>
  </si>
  <si>
    <t>b</t>
  </si>
  <si>
    <t>c</t>
  </si>
  <si>
    <t>d</t>
  </si>
  <si>
    <t>e</t>
  </si>
  <si>
    <t>f</t>
  </si>
  <si>
    <t>mins</t>
  </si>
  <si>
    <t>Pre Development</t>
  </si>
  <si>
    <t>Channel</t>
  </si>
  <si>
    <t>Sheet Flow</t>
  </si>
  <si>
    <t>Adopted ToC</t>
  </si>
  <si>
    <t>Pre Dev</t>
  </si>
  <si>
    <t>Post Dev</t>
  </si>
  <si>
    <t>ARF_10</t>
  </si>
  <si>
    <t>ARF_Area</t>
  </si>
  <si>
    <t>Pt Rainfall</t>
  </si>
  <si>
    <t>Areal Rainfall</t>
  </si>
  <si>
    <t>C10</t>
  </si>
  <si>
    <t>mm/hr</t>
  </si>
  <si>
    <r>
      <t>m</t>
    </r>
    <r>
      <rPr>
        <vertAlign val="superscript"/>
        <sz val="11"/>
        <color theme="1"/>
        <rFont val="Calibri"/>
        <family val="2"/>
        <scheme val="minor"/>
      </rPr>
      <t>3</t>
    </r>
    <r>
      <rPr>
        <sz val="11"/>
        <color theme="1"/>
        <rFont val="Calibri"/>
        <family val="2"/>
        <scheme val="minor"/>
      </rPr>
      <t>/s</t>
    </r>
  </si>
  <si>
    <r>
      <t>km</t>
    </r>
    <r>
      <rPr>
        <vertAlign val="superscript"/>
        <sz val="11"/>
        <color theme="1"/>
        <rFont val="Calibri"/>
        <family val="2"/>
        <scheme val="minor"/>
      </rPr>
      <t>2</t>
    </r>
  </si>
  <si>
    <t>BoM Intensity Data for Location of Interest</t>
  </si>
  <si>
    <t>Type of runoff</t>
  </si>
  <si>
    <t>centroid distance to outlet</t>
  </si>
  <si>
    <t>C</t>
  </si>
  <si>
    <t>Fy</t>
  </si>
  <si>
    <t>Q</t>
  </si>
  <si>
    <t>AEP</t>
  </si>
  <si>
    <t>Post Development</t>
  </si>
  <si>
    <t>Q (2100)</t>
  </si>
  <si>
    <t>Average Grassed</t>
  </si>
  <si>
    <r>
      <t xml:space="preserve">Duration </t>
    </r>
    <r>
      <rPr>
        <sz val="10"/>
        <color theme="1"/>
        <rFont val="Arial Narrow"/>
        <family val="2"/>
      </rPr>
      <t>(minutes)</t>
    </r>
  </si>
  <si>
    <t>(as per Pre Dev ToC Tab)</t>
  </si>
  <si>
    <t>Peak Flow</t>
  </si>
  <si>
    <t>slope RFFE 1%-10%</t>
  </si>
  <si>
    <t>slope MRM 1%-10%</t>
  </si>
  <si>
    <t>slope MRM 10%-63%</t>
  </si>
  <si>
    <t xml:space="preserve">SCC Regional Flood Frequency Estimation (RFFE) </t>
  </si>
  <si>
    <t>Modified Rational Method</t>
  </si>
  <si>
    <t>Low-Med Density</t>
  </si>
  <si>
    <t>Channelised\Concentrated Flows</t>
  </si>
  <si>
    <r>
      <rPr>
        <i/>
        <sz val="11"/>
        <color theme="1"/>
        <rFont val="Symbol"/>
        <family val="1"/>
        <charset val="2"/>
      </rPr>
      <t>Z</t>
    </r>
    <r>
      <rPr>
        <sz val="11"/>
        <color theme="1"/>
        <rFont val="Calibri"/>
        <family val="2"/>
        <scheme val="minor"/>
      </rPr>
      <t xml:space="preserve"> Parameter Type 1</t>
    </r>
  </si>
  <si>
    <t>Surface Type 1</t>
  </si>
  <si>
    <t>% Type 1</t>
  </si>
  <si>
    <r>
      <rPr>
        <i/>
        <sz val="11"/>
        <color theme="1"/>
        <rFont val="Symbol"/>
        <family val="1"/>
        <charset val="2"/>
      </rPr>
      <t>Z</t>
    </r>
    <r>
      <rPr>
        <sz val="11"/>
        <color theme="1"/>
        <rFont val="Calibri"/>
        <family val="2"/>
        <scheme val="minor"/>
      </rPr>
      <t xml:space="preserve"> Parameter Adopted</t>
    </r>
  </si>
  <si>
    <r>
      <rPr>
        <i/>
        <sz val="11"/>
        <color theme="1"/>
        <rFont val="Symbol"/>
        <family val="1"/>
        <charset val="2"/>
      </rPr>
      <t>Z</t>
    </r>
    <r>
      <rPr>
        <sz val="11"/>
        <color theme="1"/>
        <rFont val="Calibri"/>
        <family val="2"/>
        <scheme val="minor"/>
      </rPr>
      <t xml:space="preserve"> Parameter Type 2</t>
    </r>
  </si>
  <si>
    <t>Surface Type 2</t>
  </si>
  <si>
    <t>% Type2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</si>
</sst>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4" x14ac:knownFonts="1">
    <font>
      <sz val="11"/>
      <color theme="1"/>
      <name val="Calibri"/>
      <family val="2"/>
      <scheme val="minor"/>
    </font>
    <font>
      <b/>
      <sz val="22"/>
      <color theme="1"/>
      <name val="Calibri"/>
      <family val="2"/>
      <scheme val="minor"/>
    </font>
    <font>
      <b/>
      <u/>
      <sz val="11"/>
      <color theme="1"/>
      <name val="Calibri"/>
      <family val="2"/>
      <scheme val="minor"/>
    </font>
    <font>
      <vertAlign val="superscript"/>
      <sz val="11"/>
      <color theme="1"/>
      <name val="Calibri"/>
      <family val="2"/>
      <scheme val="minor"/>
    </font>
    <font>
      <sz val="11"/>
      <color rgb="FFFF0000"/>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color rgb="FFFF0000"/>
      <name val="Calibri"/>
      <family val="2"/>
      <scheme val="minor"/>
    </font>
    <font>
      <i/>
      <sz val="11"/>
      <color theme="1"/>
      <name val="Symbol"/>
      <family val="1"/>
      <charset val="2"/>
    </font>
    <font>
      <sz val="10"/>
      <color theme="1"/>
      <name val="Arial Narrow"/>
      <family val="2"/>
    </font>
    <font>
      <sz val="11"/>
      <color theme="1"/>
      <name val="Calibri"/>
      <family val="2"/>
      <scheme val="minor"/>
    </font>
    <font>
      <b/>
      <i/>
      <sz val="18"/>
      <color rgb="FFFF0000"/>
      <name val="Calibri"/>
      <family val="2"/>
      <scheme val="minor"/>
    </font>
    <font>
      <b/>
      <u/>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44">
    <xf numFmtId="0" fontId="0" fillId="0" borderId="0" xfId="0"/>
    <xf numFmtId="10" fontId="0" fillId="0" borderId="0" xfId="0" applyNumberFormat="1"/>
    <xf numFmtId="9" fontId="0" fillId="0" borderId="0" xfId="0" applyNumberFormat="1"/>
    <xf numFmtId="0" fontId="0" fillId="0" borderId="0" xfId="0" applyAlignment="1">
      <alignment horizontal="right"/>
    </xf>
    <xf numFmtId="0" fontId="0" fillId="0" borderId="0" xfId="0" quotePrefix="1" applyAlignment="1">
      <alignment horizontal="right"/>
    </xf>
    <xf numFmtId="1" fontId="0" fillId="0" borderId="0" xfId="0" applyNumberFormat="1"/>
    <xf numFmtId="0" fontId="0" fillId="0" borderId="0" xfId="0" applyFill="1"/>
    <xf numFmtId="0" fontId="0" fillId="0" borderId="0" xfId="0" quotePrefix="1" applyAlignment="1">
      <alignment horizontal="left"/>
    </xf>
    <xf numFmtId="0" fontId="2" fillId="0" borderId="0" xfId="0" quotePrefix="1" applyFont="1" applyAlignment="1">
      <alignment horizontal="left"/>
    </xf>
    <xf numFmtId="0" fontId="1" fillId="0" borderId="0" xfId="0" quotePrefix="1" applyFont="1" applyAlignment="1">
      <alignment horizontal="left"/>
    </xf>
    <xf numFmtId="0" fontId="4" fillId="0" borderId="0" xfId="0" applyFont="1"/>
    <xf numFmtId="0" fontId="0" fillId="2" borderId="0" xfId="0" applyFill="1" applyProtection="1">
      <protection locked="0"/>
    </xf>
    <xf numFmtId="0" fontId="0" fillId="0" borderId="0" xfId="0" applyProtection="1">
      <protection hidden="1"/>
    </xf>
    <xf numFmtId="1" fontId="0" fillId="0" borderId="0" xfId="0" applyNumberFormat="1" applyProtection="1">
      <protection hidden="1"/>
    </xf>
    <xf numFmtId="0" fontId="0" fillId="0" borderId="0" xfId="0" quotePrefix="1" applyAlignment="1" applyProtection="1">
      <alignment horizontal="right"/>
      <protection hidden="1"/>
    </xf>
    <xf numFmtId="0" fontId="0" fillId="0" borderId="0" xfId="0" applyAlignment="1" applyProtection="1">
      <alignment horizontal="right"/>
      <protection hidden="1"/>
    </xf>
    <xf numFmtId="0" fontId="8" fillId="0" borderId="0" xfId="0" applyFont="1"/>
    <xf numFmtId="1" fontId="8" fillId="0" borderId="0" xfId="0" applyNumberFormat="1" applyFont="1"/>
    <xf numFmtId="0" fontId="8" fillId="0" borderId="0" xfId="0" quotePrefix="1" applyFont="1" applyAlignment="1">
      <alignment horizontal="left"/>
    </xf>
    <xf numFmtId="165" fontId="0" fillId="3" borderId="0" xfId="0" applyNumberFormat="1" applyFill="1" applyProtection="1">
      <protection hidden="1"/>
    </xf>
    <xf numFmtId="0" fontId="5" fillId="4" borderId="1" xfId="0" applyFont="1" applyFill="1" applyBorder="1"/>
    <xf numFmtId="10" fontId="5" fillId="4" borderId="1" xfId="0" applyNumberFormat="1" applyFont="1" applyFill="1" applyBorder="1" applyAlignment="1">
      <alignment horizontal="center"/>
    </xf>
    <xf numFmtId="0" fontId="5" fillId="4" borderId="1" xfId="0" applyFont="1" applyFill="1" applyBorder="1" applyAlignment="1">
      <alignment horizontal="center"/>
    </xf>
    <xf numFmtId="9" fontId="5" fillId="4" borderId="1" xfId="0" applyNumberFormat="1" applyFont="1" applyFill="1" applyBorder="1" applyAlignment="1">
      <alignment horizontal="center"/>
    </xf>
    <xf numFmtId="1" fontId="0" fillId="4" borderId="1" xfId="0" applyNumberFormat="1" applyFill="1" applyBorder="1"/>
    <xf numFmtId="0" fontId="0" fillId="4" borderId="1" xfId="0" applyFill="1" applyBorder="1"/>
    <xf numFmtId="164" fontId="0" fillId="4" borderId="1" xfId="0" applyNumberFormat="1" applyFill="1" applyBorder="1"/>
    <xf numFmtId="0" fontId="5" fillId="4" borderId="1" xfId="0" quotePrefix="1" applyFont="1" applyFill="1" applyBorder="1" applyAlignment="1">
      <alignment horizontal="left"/>
    </xf>
    <xf numFmtId="0" fontId="0" fillId="0" borderId="0" xfId="0" quotePrefix="1" applyFill="1" applyAlignment="1">
      <alignment horizontal="left"/>
    </xf>
    <xf numFmtId="0" fontId="0" fillId="0" borderId="0" xfId="0" quotePrefix="1" applyAlignment="1">
      <alignment horizontal="left" wrapText="1"/>
    </xf>
    <xf numFmtId="9" fontId="5" fillId="4" borderId="1" xfId="1" applyFont="1" applyFill="1" applyBorder="1" applyAlignment="1">
      <alignment horizontal="center"/>
    </xf>
    <xf numFmtId="0" fontId="5" fillId="4" borderId="1" xfId="1" applyNumberFormat="1" applyFont="1" applyFill="1" applyBorder="1" applyAlignment="1">
      <alignment horizontal="center"/>
    </xf>
    <xf numFmtId="0" fontId="12" fillId="0" borderId="0" xfId="0" applyFont="1"/>
    <xf numFmtId="0" fontId="13" fillId="0" borderId="0" xfId="0" applyFont="1"/>
    <xf numFmtId="0" fontId="13" fillId="0" borderId="0" xfId="0" quotePrefix="1" applyFont="1" applyAlignment="1">
      <alignment horizontal="left"/>
    </xf>
    <xf numFmtId="1" fontId="6" fillId="4" borderId="1" xfId="0" applyNumberFormat="1" applyFont="1" applyFill="1" applyBorder="1"/>
    <xf numFmtId="1" fontId="7" fillId="4" borderId="1" xfId="0" applyNumberFormat="1" applyFont="1" applyFill="1" applyBorder="1"/>
    <xf numFmtId="0" fontId="0" fillId="4" borderId="0" xfId="0" applyFill="1"/>
    <xf numFmtId="2" fontId="0" fillId="0" borderId="0" xfId="0" applyNumberFormat="1"/>
    <xf numFmtId="0" fontId="0" fillId="2" borderId="0" xfId="0" quotePrefix="1" applyFill="1" applyAlignment="1" applyProtection="1">
      <alignment horizontal="left"/>
      <protection locked="0"/>
    </xf>
    <xf numFmtId="164" fontId="6" fillId="4" borderId="1" xfId="0" applyNumberFormat="1" applyFont="1" applyFill="1" applyBorder="1"/>
    <xf numFmtId="164" fontId="7" fillId="4" borderId="1" xfId="0" applyNumberFormat="1" applyFont="1" applyFill="1" applyBorder="1"/>
    <xf numFmtId="0" fontId="0" fillId="2" borderId="0" xfId="0" quotePrefix="1" applyFill="1" applyAlignment="1" applyProtection="1">
      <alignment horizontal="center"/>
      <protection locked="0"/>
    </xf>
    <xf numFmtId="0" fontId="0" fillId="0" borderId="0" xfId="0" applyAlignment="1">
      <alignment horizontal="center"/>
    </xf>
  </cellXfs>
  <cellStyles count="2">
    <cellStyle name="Normal" xfId="0" builtinId="0"/>
    <cellStyle name="Percent" xfId="1" builtinId="5"/>
  </cellStyles>
  <dxfs count="3">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1% AEP</a:t>
            </a:r>
          </a:p>
        </c:rich>
      </c:tx>
      <c:layout>
        <c:manualLayout>
          <c:xMode val="edge"/>
          <c:yMode val="edge"/>
          <c:x val="0.46471522309711288"/>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'BoM Pt IFD'!$D$7:$D$26</c:f>
              <c:numCache>
                <c:formatCode>General</c:formatCode>
                <c:ptCount val="20"/>
                <c:pt idx="0">
                  <c:v>1</c:v>
                </c:pt>
                <c:pt idx="1">
                  <c:v>2</c:v>
                </c:pt>
                <c:pt idx="2">
                  <c:v>3</c:v>
                </c:pt>
                <c:pt idx="3">
                  <c:v>4</c:v>
                </c:pt>
                <c:pt idx="4">
                  <c:v>5</c:v>
                </c:pt>
                <c:pt idx="5">
                  <c:v>10</c:v>
                </c:pt>
                <c:pt idx="6">
                  <c:v>15</c:v>
                </c:pt>
                <c:pt idx="7">
                  <c:v>30</c:v>
                </c:pt>
                <c:pt idx="8">
                  <c:v>60</c:v>
                </c:pt>
                <c:pt idx="9">
                  <c:v>120</c:v>
                </c:pt>
                <c:pt idx="10">
                  <c:v>180</c:v>
                </c:pt>
                <c:pt idx="11">
                  <c:v>360</c:v>
                </c:pt>
                <c:pt idx="12">
                  <c:v>720</c:v>
                </c:pt>
                <c:pt idx="13">
                  <c:v>1440</c:v>
                </c:pt>
                <c:pt idx="14">
                  <c:v>2880</c:v>
                </c:pt>
                <c:pt idx="15">
                  <c:v>4320</c:v>
                </c:pt>
                <c:pt idx="16">
                  <c:v>5760</c:v>
                </c:pt>
                <c:pt idx="17">
                  <c:v>7200</c:v>
                </c:pt>
                <c:pt idx="18">
                  <c:v>8640</c:v>
                </c:pt>
                <c:pt idx="19">
                  <c:v>10080</c:v>
                </c:pt>
              </c:numCache>
            </c:numRef>
          </c:xVal>
          <c:yVal>
            <c:numRef>
              <c:f>'BoM Pt IFD'!$K$7:$K$26</c:f>
              <c:numCache>
                <c:formatCode>General</c:formatCode>
                <c:ptCount val="20"/>
                <c:pt idx="0">
                  <c:v>437</c:v>
                </c:pt>
                <c:pt idx="1">
                  <c:v>398</c:v>
                </c:pt>
                <c:pt idx="2">
                  <c:v>369</c:v>
                </c:pt>
                <c:pt idx="3">
                  <c:v>344</c:v>
                </c:pt>
                <c:pt idx="4">
                  <c:v>324</c:v>
                </c:pt>
                <c:pt idx="5">
                  <c:v>254</c:v>
                </c:pt>
                <c:pt idx="6">
                  <c:v>214</c:v>
                </c:pt>
                <c:pt idx="7">
                  <c:v>154</c:v>
                </c:pt>
                <c:pt idx="8">
                  <c:v>107</c:v>
                </c:pt>
                <c:pt idx="9">
                  <c:v>74.5</c:v>
                </c:pt>
                <c:pt idx="10">
                  <c:v>60.5</c:v>
                </c:pt>
                <c:pt idx="11">
                  <c:v>42.8</c:v>
                </c:pt>
                <c:pt idx="12">
                  <c:v>30.6</c:v>
                </c:pt>
                <c:pt idx="13">
                  <c:v>21.6</c:v>
                </c:pt>
                <c:pt idx="14">
                  <c:v>14.7</c:v>
                </c:pt>
                <c:pt idx="15">
                  <c:v>11.3</c:v>
                </c:pt>
                <c:pt idx="16">
                  <c:v>9.25</c:v>
                </c:pt>
                <c:pt idx="17">
                  <c:v>7.79</c:v>
                </c:pt>
                <c:pt idx="18">
                  <c:v>6.71</c:v>
                </c:pt>
                <c:pt idx="19">
                  <c:v>5.88</c:v>
                </c:pt>
              </c:numCache>
            </c:numRef>
          </c:yVal>
          <c:smooth val="0"/>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numRef>
              <c:f>'BoM Pt IFD'!$D$31</c:f>
            </c:numRef>
          </c:xVal>
          <c:yVal>
            <c:numRef>
              <c:f>'BoM Pt IFD'!$K$31</c:f>
            </c:numRef>
          </c:yVal>
          <c:smooth val="0"/>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'BoM Pt IFD'!$D$40</c:f>
            </c:numRef>
          </c:xVal>
          <c:yVal>
            <c:numRef>
              <c:f>'BoM Pt IFD'!$K$40</c:f>
            </c:numRef>
          </c:yVal>
          <c:smooth val="0"/>
        </c:ser>
        <c:dLbls>
          <c:showLegendKey val="0"/>
          <c:showVal val="0"/>
          <c:showCatName val="0"/>
          <c:showSerName val="0"/>
          <c:showPercent val="0"/>
          <c:showBubbleSize val="0"/>
        </c:dLbls>
        <c:axId val="475239424"/>
        <c:axId val="475241776"/>
      </c:scatterChart>
      <c:valAx>
        <c:axId val="475239424"/>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Duration (mins)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241776"/>
        <c:crosses val="autoZero"/>
        <c:crossBetween val="midCat"/>
      </c:valAx>
      <c:valAx>
        <c:axId val="475241776"/>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Rainfall Intensity (mm/hr)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2394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www.bom.gov.au/water/designRainfalls/revised-ifd/?year=2016"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200025</xdr:colOff>
      <xdr:row>8</xdr:row>
      <xdr:rowOff>114300</xdr:rowOff>
    </xdr:from>
    <xdr:to>
      <xdr:col>18</xdr:col>
      <xdr:colOff>504825</xdr:colOff>
      <xdr:row>23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409575</xdr:colOff>
      <xdr:row>24</xdr:row>
      <xdr:rowOff>76201</xdr:rowOff>
    </xdr:from>
    <xdr:to>
      <xdr:col>18</xdr:col>
      <xdr:colOff>590550</xdr:colOff>
      <xdr:row>34</xdr:row>
      <xdr:rowOff>57151</xdr:rowOff>
    </xdr:to>
    <xdr:sp macro="" textlink="">
      <xdr:nvSpPr>
        <xdr:cNvPr id="2" name="TextBox 1">
          <a:hlinkClick xmlns:r="http://schemas.openxmlformats.org/officeDocument/2006/relationships" r:id="rId2"/>
        </xdr:cNvPr>
        <xdr:cNvSpPr txBox="1"/>
      </xdr:nvSpPr>
      <xdr:spPr>
        <a:xfrm>
          <a:off x="7115175" y="4819651"/>
          <a:ext cx="444817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Update the Yellow Cells with IFD Data from BoM</a:t>
          </a:r>
          <a:r>
            <a:rPr lang="en-AU" sz="1100" baseline="0"/>
            <a:t> for the site of Interest.</a:t>
          </a:r>
        </a:p>
        <a:p>
          <a:r>
            <a:rPr lang="en-AU" sz="1100" baseline="0"/>
            <a:t>Note data must be in the form of intensity (not depth)</a:t>
          </a:r>
        </a:p>
        <a:p>
          <a:r>
            <a:rPr lang="en-AU" sz="1100">
              <a:solidFill>
                <a:schemeClr val="accent5"/>
              </a:solidFill>
            </a:rPr>
            <a:t>http://www.bom.gov.au/water/designRainfalls/revised-ifd/?year=2016</a:t>
          </a: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14</xdr:row>
      <xdr:rowOff>9524</xdr:rowOff>
    </xdr:from>
    <xdr:to>
      <xdr:col>14</xdr:col>
      <xdr:colOff>400050</xdr:colOff>
      <xdr:row>24</xdr:row>
      <xdr:rowOff>19049</xdr:rowOff>
    </xdr:to>
    <xdr:sp macro="" textlink="">
      <xdr:nvSpPr>
        <xdr:cNvPr id="2" name="TextBox 1"/>
        <xdr:cNvSpPr txBox="1"/>
      </xdr:nvSpPr>
      <xdr:spPr>
        <a:xfrm>
          <a:off x="4972050" y="2676524"/>
          <a:ext cx="438150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1) Determine</a:t>
          </a:r>
          <a:r>
            <a:rPr lang="en-AU" sz="1100" baseline="0"/>
            <a:t> whether the undeveloped catchment is predominantly sheet flow or channel flow. If the catchment is greater than 1.5ha it is unlikely that sheetflow will be dominant. If the catchment is very small and with out any channelisation, then select sheet flow.</a:t>
          </a:r>
        </a:p>
        <a:p>
          <a:r>
            <a:rPr lang="en-AU" sz="1100" baseline="0"/>
            <a:t>2) Enter the distance from the centroid to the outlet (location of peak flow estimation). Check and adjust if the CF parameter highlights in red (&gt;0.4, &lt;4)</a:t>
          </a:r>
        </a:p>
        <a:p>
          <a:r>
            <a:rPr lang="en-AU" sz="1100" baseline="0"/>
            <a:t>3) Enter the area to the outlet</a:t>
          </a:r>
        </a:p>
        <a:p>
          <a:r>
            <a:rPr lang="en-AU" sz="1100" baseline="0"/>
            <a:t>4) Enter the (Bed) slope</a:t>
          </a:r>
        </a:p>
        <a:p>
          <a:r>
            <a:rPr lang="en-AU" sz="1100" baseline="0"/>
            <a:t>5) Select the predeveloped catchment condition from the drop down list</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276225</xdr:colOff>
      <xdr:row>13</xdr:row>
      <xdr:rowOff>57150</xdr:rowOff>
    </xdr:from>
    <xdr:to>
      <xdr:col>14</xdr:col>
      <xdr:colOff>152400</xdr:colOff>
      <xdr:row>20</xdr:row>
      <xdr:rowOff>47625</xdr:rowOff>
    </xdr:to>
    <xdr:sp macro="" textlink="">
      <xdr:nvSpPr>
        <xdr:cNvPr id="2" name="TextBox 1"/>
        <xdr:cNvSpPr txBox="1"/>
      </xdr:nvSpPr>
      <xdr:spPr>
        <a:xfrm>
          <a:off x="5153025" y="2533650"/>
          <a:ext cx="35337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Select the fraction</a:t>
          </a:r>
          <a:r>
            <a:rPr lang="en-AU" sz="1100" baseline="0"/>
            <a:t> impervious for the post developed catchment.  </a:t>
          </a:r>
        </a:p>
        <a:p>
          <a:pPr marL="171450" indent="-171450">
            <a:buFont typeface="Arial" panose="020B0604020202020204" pitchFamily="34" charset="0"/>
            <a:buChar char="•"/>
          </a:pPr>
          <a:r>
            <a:rPr lang="en-AU" sz="1100" baseline="0"/>
            <a:t>0 for vegetated open space,</a:t>
          </a:r>
        </a:p>
        <a:p>
          <a:pPr marL="171450" indent="-171450">
            <a:buFont typeface="Arial" panose="020B0604020202020204" pitchFamily="34" charset="0"/>
            <a:buChar char="•"/>
          </a:pPr>
          <a:r>
            <a:rPr lang="en-AU" sz="1100" baseline="0"/>
            <a:t>0.6 for Rural Res,</a:t>
          </a:r>
        </a:p>
        <a:p>
          <a:pPr marL="171450" indent="-171450">
            <a:buFont typeface="Arial" panose="020B0604020202020204" pitchFamily="34" charset="0"/>
            <a:buChar char="•"/>
          </a:pPr>
          <a:r>
            <a:rPr lang="en-AU" sz="1100" baseline="0"/>
            <a:t>0.8 for Low Density Res, </a:t>
          </a:r>
        </a:p>
        <a:p>
          <a:pPr marL="171450" indent="-171450">
            <a:buFont typeface="Arial" panose="020B0604020202020204" pitchFamily="34" charset="0"/>
            <a:buChar char="•"/>
          </a:pPr>
          <a:r>
            <a:rPr lang="en-AU" sz="1100" baseline="0"/>
            <a:t>0.9 for Medium Density/High Density Res, All industry, </a:t>
          </a:r>
        </a:p>
        <a:p>
          <a:pPr marL="171450" indent="-171450">
            <a:buFont typeface="Arial" panose="020B0604020202020204" pitchFamily="34" charset="0"/>
            <a:buChar char="•"/>
          </a:pPr>
          <a:r>
            <a:rPr lang="en-AU" sz="1100" baseline="0"/>
            <a:t>1.0 for Business and Commercial Centres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4:K44"/>
  <sheetViews>
    <sheetView showGridLines="0" showRowColHeaders="0" workbookViewId="0">
      <selection activeCell="E7" sqref="E7"/>
    </sheetView>
  </sheetViews>
  <sheetFormatPr defaultRowHeight="15" x14ac:dyDescent="0.25"/>
  <sheetData>
    <row r="4" spans="2:11" ht="28.5" x14ac:dyDescent="0.45">
      <c r="C4" s="9" t="s">
        <v>56</v>
      </c>
    </row>
    <row r="5" spans="2:11" x14ac:dyDescent="0.25">
      <c r="E5" t="s">
        <v>2</v>
      </c>
    </row>
    <row r="6" spans="2:11" ht="28.5" x14ac:dyDescent="0.25">
      <c r="C6" t="s">
        <v>3</v>
      </c>
      <c r="D6" s="29" t="s">
        <v>66</v>
      </c>
      <c r="E6" s="1">
        <v>0.63200000000000001</v>
      </c>
      <c r="F6" t="s">
        <v>4</v>
      </c>
      <c r="G6" t="s">
        <v>5</v>
      </c>
      <c r="H6" s="2">
        <v>0.1</v>
      </c>
      <c r="I6" s="2">
        <v>0.05</v>
      </c>
      <c r="J6" s="2">
        <v>0.02</v>
      </c>
      <c r="K6" s="2">
        <v>0.01</v>
      </c>
    </row>
    <row r="7" spans="2:11" x14ac:dyDescent="0.25">
      <c r="B7">
        <v>1</v>
      </c>
      <c r="C7" t="s">
        <v>6</v>
      </c>
      <c r="D7">
        <v>1</v>
      </c>
      <c r="E7" s="11">
        <v>170</v>
      </c>
      <c r="F7" s="11">
        <v>191</v>
      </c>
      <c r="G7" s="11">
        <v>256</v>
      </c>
      <c r="H7" s="11">
        <v>299</v>
      </c>
      <c r="I7" s="11">
        <v>341</v>
      </c>
      <c r="J7" s="11">
        <v>396</v>
      </c>
      <c r="K7" s="11">
        <v>437</v>
      </c>
    </row>
    <row r="8" spans="2:11" x14ac:dyDescent="0.25">
      <c r="B8">
        <v>2</v>
      </c>
      <c r="C8" t="s">
        <v>7</v>
      </c>
      <c r="D8">
        <v>2</v>
      </c>
      <c r="E8" s="11">
        <v>143</v>
      </c>
      <c r="F8" s="11">
        <v>160</v>
      </c>
      <c r="G8" s="11">
        <v>217</v>
      </c>
      <c r="H8" s="11">
        <v>257</v>
      </c>
      <c r="I8" s="11">
        <v>298</v>
      </c>
      <c r="J8" s="11">
        <v>354</v>
      </c>
      <c r="K8" s="11">
        <v>398</v>
      </c>
    </row>
    <row r="9" spans="2:11" x14ac:dyDescent="0.25">
      <c r="B9">
        <v>3</v>
      </c>
      <c r="C9" t="s">
        <v>8</v>
      </c>
      <c r="D9">
        <v>3</v>
      </c>
      <c r="E9" s="11">
        <v>134</v>
      </c>
      <c r="F9" s="11">
        <v>151</v>
      </c>
      <c r="G9" s="11">
        <v>205</v>
      </c>
      <c r="H9" s="11">
        <v>242</v>
      </c>
      <c r="I9" s="11">
        <v>279</v>
      </c>
      <c r="J9" s="11">
        <v>329</v>
      </c>
      <c r="K9" s="11">
        <v>369</v>
      </c>
    </row>
    <row r="10" spans="2:11" x14ac:dyDescent="0.25">
      <c r="B10">
        <v>4</v>
      </c>
      <c r="C10" t="s">
        <v>9</v>
      </c>
      <c r="D10">
        <v>4</v>
      </c>
      <c r="E10" s="11">
        <v>128</v>
      </c>
      <c r="F10" s="11">
        <v>144</v>
      </c>
      <c r="G10" s="11">
        <v>195</v>
      </c>
      <c r="H10" s="11">
        <v>229</v>
      </c>
      <c r="I10" s="11">
        <v>263</v>
      </c>
      <c r="J10" s="11">
        <v>309</v>
      </c>
      <c r="K10" s="11">
        <v>344</v>
      </c>
    </row>
    <row r="11" spans="2:11" x14ac:dyDescent="0.25">
      <c r="B11">
        <v>5</v>
      </c>
      <c r="C11" t="s">
        <v>10</v>
      </c>
      <c r="D11">
        <v>5</v>
      </c>
      <c r="E11" s="11">
        <v>122</v>
      </c>
      <c r="F11" s="11">
        <v>138</v>
      </c>
      <c r="G11" s="11">
        <v>186</v>
      </c>
      <c r="H11" s="11">
        <v>218</v>
      </c>
      <c r="I11" s="11">
        <v>250</v>
      </c>
      <c r="J11" s="11">
        <v>292</v>
      </c>
      <c r="K11" s="11">
        <v>324</v>
      </c>
    </row>
    <row r="12" spans="2:11" x14ac:dyDescent="0.25">
      <c r="B12">
        <v>6</v>
      </c>
      <c r="C12" t="s">
        <v>11</v>
      </c>
      <c r="D12">
        <v>10</v>
      </c>
      <c r="E12" s="11">
        <v>100</v>
      </c>
      <c r="F12" s="11">
        <v>113</v>
      </c>
      <c r="G12" s="11">
        <v>151</v>
      </c>
      <c r="H12" s="11">
        <v>176</v>
      </c>
      <c r="I12" s="11">
        <v>200</v>
      </c>
      <c r="J12" s="11">
        <v>231</v>
      </c>
      <c r="K12" s="11">
        <v>254</v>
      </c>
    </row>
    <row r="13" spans="2:11" x14ac:dyDescent="0.25">
      <c r="B13">
        <v>7</v>
      </c>
      <c r="C13" t="s">
        <v>12</v>
      </c>
      <c r="D13">
        <v>15</v>
      </c>
      <c r="E13" s="11">
        <v>85.1</v>
      </c>
      <c r="F13" s="11">
        <v>95.6</v>
      </c>
      <c r="G13" s="11">
        <v>128</v>
      </c>
      <c r="H13" s="11">
        <v>149</v>
      </c>
      <c r="I13" s="11">
        <v>169</v>
      </c>
      <c r="J13" s="11">
        <v>195</v>
      </c>
      <c r="K13" s="11">
        <v>214</v>
      </c>
    </row>
    <row r="14" spans="2:11" x14ac:dyDescent="0.25">
      <c r="B14">
        <v>8</v>
      </c>
      <c r="C14" t="s">
        <v>13</v>
      </c>
      <c r="D14">
        <v>30</v>
      </c>
      <c r="E14" s="11">
        <v>59.7</v>
      </c>
      <c r="F14" s="11">
        <v>67</v>
      </c>
      <c r="G14" s="11">
        <v>89.8</v>
      </c>
      <c r="H14" s="11">
        <v>105</v>
      </c>
      <c r="I14" s="11">
        <v>120</v>
      </c>
      <c r="J14" s="11">
        <v>139</v>
      </c>
      <c r="K14" s="11">
        <v>154</v>
      </c>
    </row>
    <row r="15" spans="2:11" x14ac:dyDescent="0.25">
      <c r="B15">
        <v>9</v>
      </c>
      <c r="C15" t="s">
        <v>14</v>
      </c>
      <c r="D15">
        <v>60</v>
      </c>
      <c r="E15" s="11">
        <v>39.4</v>
      </c>
      <c r="F15" s="11">
        <v>44.4</v>
      </c>
      <c r="G15" s="11">
        <v>60.2</v>
      </c>
      <c r="H15" s="11">
        <v>71</v>
      </c>
      <c r="I15" s="11">
        <v>81.7</v>
      </c>
      <c r="J15" s="11">
        <v>96</v>
      </c>
      <c r="K15" s="11">
        <v>107</v>
      </c>
    </row>
    <row r="16" spans="2:11" x14ac:dyDescent="0.25">
      <c r="B16">
        <v>10</v>
      </c>
      <c r="C16" t="s">
        <v>15</v>
      </c>
      <c r="D16">
        <v>120</v>
      </c>
      <c r="E16" s="11">
        <v>25.5</v>
      </c>
      <c r="F16" s="11">
        <v>28.9</v>
      </c>
      <c r="G16" s="11">
        <v>39.9</v>
      </c>
      <c r="H16" s="11">
        <v>47.7</v>
      </c>
      <c r="I16" s="11">
        <v>55.5</v>
      </c>
      <c r="J16" s="11">
        <v>66.099999999999994</v>
      </c>
      <c r="K16" s="11">
        <v>74.5</v>
      </c>
    </row>
    <row r="17" spans="1:11" x14ac:dyDescent="0.25">
      <c r="B17">
        <v>11</v>
      </c>
      <c r="C17" t="s">
        <v>16</v>
      </c>
      <c r="D17">
        <v>180</v>
      </c>
      <c r="E17" s="11">
        <v>19.8</v>
      </c>
      <c r="F17" s="11">
        <v>22.6</v>
      </c>
      <c r="G17" s="11">
        <v>31.6</v>
      </c>
      <c r="H17" s="11">
        <v>38.1</v>
      </c>
      <c r="I17" s="11">
        <v>44.5</v>
      </c>
      <c r="J17" s="11">
        <v>53.4</v>
      </c>
      <c r="K17" s="11">
        <v>60.5</v>
      </c>
    </row>
    <row r="18" spans="1:11" x14ac:dyDescent="0.25">
      <c r="B18">
        <v>12</v>
      </c>
      <c r="C18" t="s">
        <v>17</v>
      </c>
      <c r="D18">
        <v>360</v>
      </c>
      <c r="E18" s="11">
        <v>13</v>
      </c>
      <c r="F18" s="11">
        <v>15</v>
      </c>
      <c r="G18" s="11">
        <v>21.6</v>
      </c>
      <c r="H18" s="11">
        <v>26.3</v>
      </c>
      <c r="I18" s="11">
        <v>31.1</v>
      </c>
      <c r="J18" s="11">
        <v>37.6</v>
      </c>
      <c r="K18" s="11">
        <v>42.8</v>
      </c>
    </row>
    <row r="19" spans="1:11" x14ac:dyDescent="0.25">
      <c r="B19">
        <v>13</v>
      </c>
      <c r="C19" t="s">
        <v>18</v>
      </c>
      <c r="D19">
        <v>720</v>
      </c>
      <c r="E19" s="11">
        <v>8.6999999999999993</v>
      </c>
      <c r="F19" s="11">
        <v>10.199999999999999</v>
      </c>
      <c r="G19" s="11">
        <v>15</v>
      </c>
      <c r="H19" s="11">
        <v>18.5</v>
      </c>
      <c r="I19" s="11">
        <v>22</v>
      </c>
      <c r="J19" s="11">
        <v>26.8</v>
      </c>
      <c r="K19" s="11">
        <v>30.6</v>
      </c>
    </row>
    <row r="20" spans="1:11" x14ac:dyDescent="0.25">
      <c r="B20">
        <v>14</v>
      </c>
      <c r="C20" t="s">
        <v>19</v>
      </c>
      <c r="D20">
        <v>1440</v>
      </c>
      <c r="E20" s="11">
        <v>5.81</v>
      </c>
      <c r="F20" s="11">
        <v>6.84</v>
      </c>
      <c r="G20" s="11">
        <v>10.3</v>
      </c>
      <c r="H20" s="11">
        <v>12.8</v>
      </c>
      <c r="I20" s="11">
        <v>15.3</v>
      </c>
      <c r="J20" s="11">
        <v>18.8</v>
      </c>
      <c r="K20" s="11">
        <v>21.6</v>
      </c>
    </row>
    <row r="21" spans="1:11" x14ac:dyDescent="0.25">
      <c r="B21">
        <v>15</v>
      </c>
      <c r="C21" t="s">
        <v>20</v>
      </c>
      <c r="D21">
        <v>2880</v>
      </c>
      <c r="E21" s="11">
        <v>3.76</v>
      </c>
      <c r="F21" s="11">
        <v>4.43</v>
      </c>
      <c r="G21" s="11">
        <v>6.7</v>
      </c>
      <c r="H21" s="11">
        <v>8.4</v>
      </c>
      <c r="I21" s="11">
        <v>10.199999999999999</v>
      </c>
      <c r="J21" s="11">
        <v>12.7</v>
      </c>
      <c r="K21" s="11">
        <v>14.7</v>
      </c>
    </row>
    <row r="22" spans="1:11" x14ac:dyDescent="0.25">
      <c r="B22">
        <v>16</v>
      </c>
      <c r="C22" t="s">
        <v>21</v>
      </c>
      <c r="D22">
        <v>4320</v>
      </c>
      <c r="E22" s="11">
        <v>2.84</v>
      </c>
      <c r="F22" s="11">
        <v>3.34</v>
      </c>
      <c r="G22" s="11">
        <v>5.0599999999999996</v>
      </c>
      <c r="H22" s="11">
        <v>6.36</v>
      </c>
      <c r="I22" s="11">
        <v>7.74</v>
      </c>
      <c r="J22" s="11">
        <v>9.7100000000000009</v>
      </c>
      <c r="K22" s="11">
        <v>11.3</v>
      </c>
    </row>
    <row r="23" spans="1:11" x14ac:dyDescent="0.25">
      <c r="B23">
        <v>17</v>
      </c>
      <c r="C23" t="s">
        <v>22</v>
      </c>
      <c r="D23">
        <v>5760</v>
      </c>
      <c r="E23" s="11">
        <v>2.29</v>
      </c>
      <c r="F23" s="11">
        <v>2.69</v>
      </c>
      <c r="G23" s="11">
        <v>4.08</v>
      </c>
      <c r="H23" s="11">
        <v>5.13</v>
      </c>
      <c r="I23" s="11">
        <v>6.26</v>
      </c>
      <c r="J23" s="11">
        <v>7.89</v>
      </c>
      <c r="K23" s="11">
        <v>9.25</v>
      </c>
    </row>
    <row r="24" spans="1:11" x14ac:dyDescent="0.25">
      <c r="B24">
        <v>18</v>
      </c>
      <c r="C24" t="s">
        <v>23</v>
      </c>
      <c r="D24">
        <v>7200</v>
      </c>
      <c r="E24" s="11">
        <v>1.93</v>
      </c>
      <c r="F24" s="11">
        <v>2.2599999999999998</v>
      </c>
      <c r="G24" s="11">
        <v>3.42</v>
      </c>
      <c r="H24" s="11">
        <v>4.3099999999999996</v>
      </c>
      <c r="I24" s="11">
        <v>5.26</v>
      </c>
      <c r="J24" s="11">
        <v>6.64</v>
      </c>
      <c r="K24" s="11">
        <v>7.79</v>
      </c>
    </row>
    <row r="25" spans="1:11" x14ac:dyDescent="0.25">
      <c r="B25">
        <v>19</v>
      </c>
      <c r="C25" t="s">
        <v>24</v>
      </c>
      <c r="D25">
        <v>8640</v>
      </c>
      <c r="E25" s="11">
        <v>1.67</v>
      </c>
      <c r="F25" s="11">
        <v>1.95</v>
      </c>
      <c r="G25" s="11">
        <v>2.95</v>
      </c>
      <c r="H25" s="11">
        <v>3.72</v>
      </c>
      <c r="I25" s="11">
        <v>4.53</v>
      </c>
      <c r="J25" s="11">
        <v>5.72</v>
      </c>
      <c r="K25" s="11">
        <v>6.71</v>
      </c>
    </row>
    <row r="26" spans="1:11" x14ac:dyDescent="0.25">
      <c r="B26">
        <v>20</v>
      </c>
      <c r="C26" t="s">
        <v>25</v>
      </c>
      <c r="D26">
        <v>10080</v>
      </c>
      <c r="E26" s="11">
        <v>1.47</v>
      </c>
      <c r="F26" s="11">
        <v>1.72</v>
      </c>
      <c r="G26" s="11">
        <v>2.6</v>
      </c>
      <c r="H26" s="11">
        <v>3.27</v>
      </c>
      <c r="I26" s="11">
        <v>3.98</v>
      </c>
      <c r="J26" s="11">
        <v>5.0199999999999996</v>
      </c>
      <c r="K26" s="11">
        <v>5.88</v>
      </c>
    </row>
    <row r="28" spans="1:11" hidden="1" x14ac:dyDescent="0.25">
      <c r="B28" s="12">
        <f>MATCH(D31,D7:D26)</f>
        <v>7</v>
      </c>
      <c r="C28" s="12"/>
      <c r="D28" s="12">
        <f ca="1">OFFSET($D$6,B28,0)</f>
        <v>15</v>
      </c>
      <c r="E28" s="12">
        <f ca="1">LOG(OFFSET(E6,$B28,0))</f>
        <v>1.9299295600845878</v>
      </c>
      <c r="F28" s="12">
        <f t="shared" ref="F28:G28" ca="1" si="0">LOG(OFFSET(F6,$B28,0))</f>
        <v>1.9804578922761</v>
      </c>
      <c r="G28" s="12">
        <f t="shared" ca="1" si="0"/>
        <v>2.1072099696478683</v>
      </c>
      <c r="H28" s="12">
        <f ca="1">LOG(OFFSET(H6,$B28,0))</f>
        <v>2.173186268412274</v>
      </c>
      <c r="I28" s="12">
        <f t="shared" ref="I28:J28" ca="1" si="1">LOG(OFFSET(I6,$B28,0))</f>
        <v>2.2278867046136734</v>
      </c>
      <c r="J28" s="12">
        <f t="shared" ca="1" si="1"/>
        <v>2.2900346113625178</v>
      </c>
      <c r="K28" s="12">
        <f ca="1">LOG(OFFSET(K6,$B28,0))</f>
        <v>2.330413773349191</v>
      </c>
    </row>
    <row r="29" spans="1:11" hidden="1" x14ac:dyDescent="0.25">
      <c r="A29" s="12"/>
      <c r="B29" s="12">
        <f>B28+1</f>
        <v>8</v>
      </c>
      <c r="C29" s="12"/>
      <c r="D29" s="12">
        <f ca="1">OFFSET($D$6,B29,0)</f>
        <v>30</v>
      </c>
      <c r="E29" s="12">
        <f ca="1">LOG(OFFSET(E6,$B29,0))</f>
        <v>1.7759743311293692</v>
      </c>
      <c r="F29" s="12">
        <f t="shared" ref="F29:G29" ca="1" si="2">LOG(OFFSET(F6,$B29,0))</f>
        <v>1.8260748027008264</v>
      </c>
      <c r="G29" s="12">
        <f t="shared" ca="1" si="2"/>
        <v>1.9532763366673043</v>
      </c>
      <c r="H29" s="12">
        <f ca="1">LOG(OFFSET(H6,$B29,0))</f>
        <v>2.0211892990699383</v>
      </c>
      <c r="I29" s="12">
        <f t="shared" ref="I29:J29" ca="1" si="3">LOG(OFFSET(I6,$B29,0))</f>
        <v>2.0791812460476247</v>
      </c>
      <c r="J29" s="12">
        <f t="shared" ca="1" si="3"/>
        <v>2.143014800254095</v>
      </c>
      <c r="K29" s="12">
        <f ca="1">LOG(OFFSET(K6,$B29,0))</f>
        <v>2.1875207208364631</v>
      </c>
    </row>
    <row r="30" spans="1:11" hidden="1" x14ac:dyDescent="0.25">
      <c r="A30" s="12"/>
      <c r="B30" s="12"/>
      <c r="C30" s="12"/>
      <c r="D30" s="12"/>
      <c r="E30" s="12">
        <f ca="1">(E29)+($D$31-$D$29)/($D$29-$D$28)*(E29-E28)</f>
        <v>1.9257877585236496</v>
      </c>
      <c r="F30" s="12">
        <f t="shared" ref="F30:K30" ca="1" si="4">(F29)+($D$31-$D$29)/($D$29-$D$28)*(F29-F28)</f>
        <v>1.9763045801364303</v>
      </c>
      <c r="G30" s="12">
        <f t="shared" ca="1" si="4"/>
        <v>2.1030687490755859</v>
      </c>
      <c r="H30" s="12">
        <f t="shared" ca="1" si="4"/>
        <v>2.1690971491978619</v>
      </c>
      <c r="I30" s="12">
        <f t="shared" ca="1" si="4"/>
        <v>2.223886135717192</v>
      </c>
      <c r="J30" s="12">
        <f t="shared" ca="1" si="4"/>
        <v>2.286079390826846</v>
      </c>
      <c r="K30" s="12">
        <f t="shared" ca="1" si="4"/>
        <v>2.3265695734999179</v>
      </c>
    </row>
    <row r="31" spans="1:11" hidden="1" x14ac:dyDescent="0.25">
      <c r="A31" s="12"/>
      <c r="B31" s="12"/>
      <c r="C31" s="12"/>
      <c r="D31" s="13">
        <f>'Pre Dev ToC'!E14</f>
        <v>15.403539547410535</v>
      </c>
      <c r="E31" s="12">
        <f t="shared" ref="E31:G31" ca="1" si="5">10^E30</f>
        <v>84.292271733570473</v>
      </c>
      <c r="F31" s="12">
        <f t="shared" ca="1" si="5"/>
        <v>94.690101076193059</v>
      </c>
      <c r="G31" s="12">
        <f t="shared" ca="1" si="5"/>
        <v>126.7852551788426</v>
      </c>
      <c r="H31" s="12">
        <f ca="1">10^H30</f>
        <v>147.60366773324716</v>
      </c>
      <c r="I31" s="12">
        <f t="shared" ref="I31:K31" ca="1" si="6">10^I30</f>
        <v>167.45037933803044</v>
      </c>
      <c r="J31" s="12">
        <f t="shared" ca="1" si="6"/>
        <v>193.23215210954362</v>
      </c>
      <c r="K31" s="12">
        <f t="shared" ca="1" si="6"/>
        <v>212.1141170363646</v>
      </c>
    </row>
    <row r="32" spans="1:11" x14ac:dyDescent="0.25">
      <c r="A32" s="12" t="s">
        <v>46</v>
      </c>
      <c r="B32" s="12"/>
      <c r="C32" s="12"/>
      <c r="D32" s="14" t="s">
        <v>50</v>
      </c>
      <c r="E32" s="19">
        <f ca="1">E31*($D$31/60)</f>
        <v>21.639989019818799</v>
      </c>
      <c r="F32" s="19">
        <f t="shared" ref="F32:K32" ca="1" si="7">F31*($D$31/60)</f>
        <v>24.309378611257344</v>
      </c>
      <c r="G32" s="19">
        <f t="shared" ca="1" si="7"/>
        <v>32.549028202930643</v>
      </c>
      <c r="H32" s="19">
        <f t="shared" ca="1" si="7"/>
        <v>37.893648887865282</v>
      </c>
      <c r="I32" s="19">
        <f t="shared" ca="1" si="7"/>
        <v>42.988809006037464</v>
      </c>
      <c r="J32" s="19">
        <f t="shared" ca="1" si="7"/>
        <v>49.607651614176717</v>
      </c>
      <c r="K32" s="19">
        <f t="shared" ca="1" si="7"/>
        <v>54.455136505561818</v>
      </c>
    </row>
    <row r="33" spans="1:11" hidden="1" x14ac:dyDescent="0.25">
      <c r="A33" s="12"/>
      <c r="B33" s="12"/>
      <c r="C33" s="12"/>
      <c r="D33" s="15" t="s">
        <v>48</v>
      </c>
      <c r="E33" s="19">
        <f t="shared" ref="E33:K33" ca="1" si="8">MIN(1,1-0.287*(((Area/100)^0.265)-0.439*LOG(E32))*(E32^-0.36)+(2.26 * 10^-3) * ((Area/100)^0.226)*(E32^0.125)*(0.3+LOG(0.01))+0.0141 * ((Area/100)^0.213) * 10^(-0.021*((E32-180)^2)/1440)*(0.3+LOG(0.01)))</f>
        <v>1</v>
      </c>
      <c r="F33" s="19">
        <f t="shared" ca="1" si="8"/>
        <v>1</v>
      </c>
      <c r="G33" s="19">
        <f t="shared" ca="1" si="8"/>
        <v>1</v>
      </c>
      <c r="H33" s="19">
        <f t="shared" ca="1" si="8"/>
        <v>1</v>
      </c>
      <c r="I33" s="19">
        <f t="shared" ca="1" si="8"/>
        <v>1</v>
      </c>
      <c r="J33" s="19">
        <f t="shared" ca="1" si="8"/>
        <v>1</v>
      </c>
      <c r="K33" s="19">
        <f t="shared" ca="1" si="8"/>
        <v>1</v>
      </c>
    </row>
    <row r="34" spans="1:11" hidden="1" x14ac:dyDescent="0.25">
      <c r="A34" s="12"/>
      <c r="B34" s="12"/>
      <c r="C34" s="12"/>
      <c r="D34" s="15" t="s">
        <v>49</v>
      </c>
      <c r="E34" s="19">
        <f t="shared" ref="E34:K34" si="9">IF((Area/100)&lt;1,1,IF((Area/100)&gt;10,E33,1-0.6614*(1-E33)*(((Area/100)^0.4)-1)))</f>
        <v>1</v>
      </c>
      <c r="F34" s="19">
        <f t="shared" si="9"/>
        <v>1</v>
      </c>
      <c r="G34" s="19">
        <f t="shared" si="9"/>
        <v>1</v>
      </c>
      <c r="H34" s="19">
        <f t="shared" si="9"/>
        <v>1</v>
      </c>
      <c r="I34" s="19">
        <f t="shared" si="9"/>
        <v>1</v>
      </c>
      <c r="J34" s="19">
        <f t="shared" si="9"/>
        <v>1</v>
      </c>
      <c r="K34" s="19">
        <f t="shared" si="9"/>
        <v>1</v>
      </c>
    </row>
    <row r="35" spans="1:11" x14ac:dyDescent="0.25">
      <c r="A35" s="12"/>
      <c r="B35" s="12"/>
      <c r="C35" s="12"/>
      <c r="D35" s="15" t="s">
        <v>51</v>
      </c>
      <c r="E35" s="19">
        <f ca="1">E32*E34</f>
        <v>21.639989019818799</v>
      </c>
      <c r="F35" s="19">
        <f t="shared" ref="F35:K35" ca="1" si="10">F32*F34</f>
        <v>24.309378611257344</v>
      </c>
      <c r="G35" s="19">
        <f t="shared" ca="1" si="10"/>
        <v>32.549028202930643</v>
      </c>
      <c r="H35" s="19">
        <f t="shared" ca="1" si="10"/>
        <v>37.893648887865282</v>
      </c>
      <c r="I35" s="19">
        <f t="shared" ca="1" si="10"/>
        <v>42.988809006037464</v>
      </c>
      <c r="J35" s="19">
        <f t="shared" ca="1" si="10"/>
        <v>49.607651614176717</v>
      </c>
      <c r="K35" s="19">
        <f t="shared" ca="1" si="10"/>
        <v>54.455136505561818</v>
      </c>
    </row>
    <row r="36" spans="1:11" x14ac:dyDescent="0.25">
      <c r="A36" s="12"/>
      <c r="B36" s="12"/>
      <c r="C36" s="12"/>
      <c r="D36" s="12"/>
      <c r="E36" s="12"/>
      <c r="F36" s="12"/>
      <c r="G36" s="12"/>
      <c r="H36" s="12"/>
      <c r="I36" s="12"/>
      <c r="J36" s="12"/>
      <c r="K36" s="12"/>
    </row>
    <row r="37" spans="1:11" hidden="1" x14ac:dyDescent="0.25">
      <c r="B37" s="12">
        <f>MATCH(D40,D7:D26)</f>
        <v>5</v>
      </c>
      <c r="C37" s="12"/>
      <c r="D37" s="12">
        <f ca="1">OFFSET($D$6,B37,0)</f>
        <v>5</v>
      </c>
      <c r="E37" s="12">
        <f ca="1">LOG(OFFSET(E6,$B37,0))</f>
        <v>2.0863598306747484</v>
      </c>
      <c r="F37" s="12">
        <f t="shared" ref="F37:K37" ca="1" si="11">LOG(OFFSET(F6,$B37,0))</f>
        <v>2.1398790864012365</v>
      </c>
      <c r="G37" s="12">
        <f t="shared" ca="1" si="11"/>
        <v>2.2695129442179165</v>
      </c>
      <c r="H37" s="12">
        <f t="shared" ca="1" si="11"/>
        <v>2.3384564936046046</v>
      </c>
      <c r="I37" s="12">
        <f t="shared" ca="1" si="11"/>
        <v>2.3979400086720375</v>
      </c>
      <c r="J37" s="12">
        <f t="shared" ca="1" si="11"/>
        <v>2.4653828514484184</v>
      </c>
      <c r="K37" s="12">
        <f t="shared" ca="1" si="11"/>
        <v>2.510545010206612</v>
      </c>
    </row>
    <row r="38" spans="1:11" hidden="1" x14ac:dyDescent="0.25">
      <c r="A38" s="12"/>
      <c r="B38" s="12">
        <f>B37+1</f>
        <v>6</v>
      </c>
      <c r="C38" s="12"/>
      <c r="D38" s="12">
        <f ca="1">OFFSET($D$6,B38,0)</f>
        <v>10</v>
      </c>
      <c r="E38" s="12">
        <f ca="1">LOG(OFFSET(E6,$B38,0))</f>
        <v>2</v>
      </c>
      <c r="F38" s="12">
        <f t="shared" ref="F38:K38" ca="1" si="12">LOG(OFFSET(F6,$B38,0))</f>
        <v>2.0530784434834195</v>
      </c>
      <c r="G38" s="12">
        <f t="shared" ca="1" si="12"/>
        <v>2.1789769472931693</v>
      </c>
      <c r="H38" s="12">
        <f t="shared" ca="1" si="12"/>
        <v>2.2455126678141499</v>
      </c>
      <c r="I38" s="12">
        <f t="shared" ca="1" si="12"/>
        <v>2.3010299956639813</v>
      </c>
      <c r="J38" s="12">
        <f t="shared" ca="1" si="12"/>
        <v>2.3636119798921444</v>
      </c>
      <c r="K38" s="12">
        <f t="shared" ca="1" si="12"/>
        <v>2.4048337166199381</v>
      </c>
    </row>
    <row r="39" spans="1:11" hidden="1" x14ac:dyDescent="0.25">
      <c r="A39" s="12"/>
      <c r="B39" s="12"/>
      <c r="C39" s="12"/>
      <c r="D39" s="12"/>
      <c r="E39" s="12">
        <f ca="1">(E38)+($D$40-$D$38)/($D$38-$D$37)*(E38-E37)</f>
        <v>2.0545093502101324</v>
      </c>
      <c r="F39" s="12">
        <f t="shared" ref="F39:J39" ca="1" si="13">(F38)+($D$40-$D$38)/($D$38-$D$37)*(F38-F37)</f>
        <v>2.1078660294050695</v>
      </c>
      <c r="G39" s="12">
        <f t="shared" ca="1" si="13"/>
        <v>2.2361222464957708</v>
      </c>
      <c r="H39" s="12">
        <f t="shared" ca="1" si="13"/>
        <v>2.3041777614149277</v>
      </c>
      <c r="I39" s="12">
        <f t="shared" ca="1" si="13"/>
        <v>2.3621985018624216</v>
      </c>
      <c r="J39" s="12">
        <f t="shared" ca="1" si="13"/>
        <v>2.4278486051322332</v>
      </c>
      <c r="K39" s="12">
        <f ca="1">(K38)+($D$40-$D$38)/($D$38-$D$37)*(K38-K37)</f>
        <v>2.4715574917623897</v>
      </c>
    </row>
    <row r="40" spans="1:11" hidden="1" x14ac:dyDescent="0.25">
      <c r="A40" s="12"/>
      <c r="B40" s="12"/>
      <c r="C40" s="12"/>
      <c r="D40" s="13">
        <f>'Post Dev ToC'!E14</f>
        <v>6.8440564447475918</v>
      </c>
      <c r="E40" s="12">
        <f t="shared" ref="E40" ca="1" si="14">10^E39</f>
        <v>113.37292466415961</v>
      </c>
      <c r="F40" s="12">
        <f t="shared" ref="F40" ca="1" si="15">10^F39</f>
        <v>128.1935071998042</v>
      </c>
      <c r="G40" s="12">
        <f t="shared" ref="G40" ca="1" si="16">10^G39</f>
        <v>172.23533198677265</v>
      </c>
      <c r="H40" s="12">
        <f ca="1">10^H39</f>
        <v>201.45486576220898</v>
      </c>
      <c r="I40" s="12">
        <f t="shared" ref="I40" ca="1" si="17">10^I39</f>
        <v>230.24939719382419</v>
      </c>
      <c r="J40" s="12">
        <f t="shared" ref="J40" ca="1" si="18">10^J39</f>
        <v>267.8234530674203</v>
      </c>
      <c r="K40" s="12">
        <f t="shared" ref="K40" ca="1" si="19">10^K39</f>
        <v>296.18120231567326</v>
      </c>
    </row>
    <row r="41" spans="1:11" x14ac:dyDescent="0.25">
      <c r="A41" s="12" t="s">
        <v>47</v>
      </c>
      <c r="B41" s="12"/>
      <c r="C41" s="12"/>
      <c r="D41" s="14" t="s">
        <v>50</v>
      </c>
      <c r="E41" s="19">
        <f ca="1">E40*($D$40/60)</f>
        <v>12.932178261793746</v>
      </c>
      <c r="F41" s="19">
        <f t="shared" ref="F41:K41" ca="1" si="20">F40*($D$40/60)</f>
        <v>14.622726652093613</v>
      </c>
      <c r="G41" s="19">
        <f t="shared" ca="1" si="20"/>
        <v>19.646472231621871</v>
      </c>
      <c r="H41" s="19">
        <f t="shared" ca="1" si="20"/>
        <v>22.979474539093456</v>
      </c>
      <c r="I41" s="19">
        <f t="shared" ca="1" si="20"/>
        <v>26.263997846060676</v>
      </c>
      <c r="J41" s="19">
        <f t="shared" ca="1" si="20"/>
        <v>30.549980500343867</v>
      </c>
      <c r="K41" s="19">
        <f t="shared" ca="1" si="20"/>
        <v>33.784681108694564</v>
      </c>
    </row>
    <row r="42" spans="1:11" hidden="1" x14ac:dyDescent="0.25">
      <c r="A42" s="12"/>
      <c r="B42" s="12"/>
      <c r="C42" s="12"/>
      <c r="D42" s="15" t="s">
        <v>48</v>
      </c>
      <c r="E42" s="19">
        <f t="shared" ref="E42:K42" ca="1" si="21">MIN(1,1-0.287*(((Area/100)^0.265)-0.439*LOG(E41))*(E41^-0.36)+(2.26 * 10^-3) * ((Area/100)^0.226)*(E41^0.125)*(0.3+LOG(0.01))+0.0141 * ((Area/100)^0.213) * 10^(-0.021*((E41-180)^2)/1440)*(0.3+LOG(0.01)))</f>
        <v>1</v>
      </c>
      <c r="F42" s="19">
        <f t="shared" ca="1" si="21"/>
        <v>1</v>
      </c>
      <c r="G42" s="19">
        <f t="shared" ca="1" si="21"/>
        <v>1</v>
      </c>
      <c r="H42" s="19">
        <f t="shared" ca="1" si="21"/>
        <v>1</v>
      </c>
      <c r="I42" s="19">
        <f t="shared" ca="1" si="21"/>
        <v>1</v>
      </c>
      <c r="J42" s="19">
        <f t="shared" ca="1" si="21"/>
        <v>1</v>
      </c>
      <c r="K42" s="19">
        <f t="shared" ca="1" si="21"/>
        <v>1</v>
      </c>
    </row>
    <row r="43" spans="1:11" hidden="1" x14ac:dyDescent="0.25">
      <c r="A43" s="12"/>
      <c r="B43" s="12"/>
      <c r="C43" s="12"/>
      <c r="D43" s="15" t="s">
        <v>49</v>
      </c>
      <c r="E43" s="19">
        <f t="shared" ref="E43:K43" si="22">IF((Area/100)&lt;1,1,IF((Area/100)&gt;10,E42,1-0.6614*(1-E42)*(((Area/100)^0.4)-1)))</f>
        <v>1</v>
      </c>
      <c r="F43" s="19">
        <f t="shared" si="22"/>
        <v>1</v>
      </c>
      <c r="G43" s="19">
        <f t="shared" si="22"/>
        <v>1</v>
      </c>
      <c r="H43" s="19">
        <f t="shared" si="22"/>
        <v>1</v>
      </c>
      <c r="I43" s="19">
        <f t="shared" si="22"/>
        <v>1</v>
      </c>
      <c r="J43" s="19">
        <f t="shared" si="22"/>
        <v>1</v>
      </c>
      <c r="K43" s="19">
        <f t="shared" si="22"/>
        <v>1</v>
      </c>
    </row>
    <row r="44" spans="1:11" x14ac:dyDescent="0.25">
      <c r="A44" s="12"/>
      <c r="B44" s="12"/>
      <c r="C44" s="12"/>
      <c r="D44" s="15" t="s">
        <v>51</v>
      </c>
      <c r="E44" s="19">
        <f ca="1">E41*E43</f>
        <v>12.932178261793746</v>
      </c>
      <c r="F44" s="19">
        <f t="shared" ref="F44" ca="1" si="23">F41*F43</f>
        <v>14.622726652093613</v>
      </c>
      <c r="G44" s="19">
        <f t="shared" ref="G44" ca="1" si="24">G41*G43</f>
        <v>19.646472231621871</v>
      </c>
      <c r="H44" s="19">
        <f t="shared" ref="H44" ca="1" si="25">H41*H43</f>
        <v>22.979474539093456</v>
      </c>
      <c r="I44" s="19">
        <f t="shared" ref="I44" ca="1" si="26">I41*I43</f>
        <v>26.263997846060676</v>
      </c>
      <c r="J44" s="19">
        <f t="shared" ref="J44" ca="1" si="27">J41*J43</f>
        <v>30.549980500343867</v>
      </c>
      <c r="K44" s="19">
        <f t="shared" ref="K44" ca="1" si="28">K41*K43</f>
        <v>33.784681108694564</v>
      </c>
    </row>
  </sheetData>
  <sheetProtection password="CD7E"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C3:O14"/>
  <sheetViews>
    <sheetView showGridLines="0" showRowColHeaders="0" zoomScaleNormal="100" workbookViewId="0">
      <selection activeCell="E4" sqref="E4:G4"/>
    </sheetView>
  </sheetViews>
  <sheetFormatPr defaultRowHeight="15" x14ac:dyDescent="0.25"/>
  <cols>
    <col min="5" max="5" width="15.42578125" customWidth="1"/>
  </cols>
  <sheetData>
    <row r="3" spans="3:15" x14ac:dyDescent="0.25">
      <c r="E3" t="s">
        <v>42</v>
      </c>
      <c r="K3" t="s">
        <v>33</v>
      </c>
      <c r="M3" t="s">
        <v>43</v>
      </c>
      <c r="N3" t="s">
        <v>44</v>
      </c>
    </row>
    <row r="4" spans="3:15" x14ac:dyDescent="0.25">
      <c r="D4" s="3" t="s">
        <v>57</v>
      </c>
      <c r="E4" s="42" t="s">
        <v>75</v>
      </c>
      <c r="F4" s="42"/>
      <c r="G4" s="42"/>
      <c r="L4" t="s">
        <v>34</v>
      </c>
      <c r="M4">
        <f>-3.688*LN((0.5*(E6/100)^0.5)/E5)-0.9195</f>
        <v>0.49689524389759065</v>
      </c>
      <c r="O4" s="10" t="str">
        <f>IF(OR(M4&gt;4,M4&lt;0.4),"Check Centroid distance to outlet, Shape is unusual","")</f>
        <v/>
      </c>
    </row>
    <row r="5" spans="3:15" x14ac:dyDescent="0.25">
      <c r="D5" s="3" t="s">
        <v>58</v>
      </c>
      <c r="E5" s="11">
        <v>0.09</v>
      </c>
      <c r="F5" t="s">
        <v>26</v>
      </c>
      <c r="L5" t="s">
        <v>35</v>
      </c>
      <c r="M5">
        <f>M7*E7^M8</f>
        <v>13.238904392657217</v>
      </c>
      <c r="N5">
        <f>N7*E7^N8</f>
        <v>23.298620793931786</v>
      </c>
    </row>
    <row r="6" spans="3:15" x14ac:dyDescent="0.25">
      <c r="D6" s="3" t="s">
        <v>27</v>
      </c>
      <c r="E6" s="11">
        <v>1.5029999999999999</v>
      </c>
      <c r="F6" t="s">
        <v>28</v>
      </c>
      <c r="L6" t="s">
        <v>36</v>
      </c>
      <c r="M6">
        <f>M9*E7^M10</f>
        <v>0.37165947655751441</v>
      </c>
      <c r="N6">
        <f>N9*E7^N10</f>
        <v>0.39088800000000001</v>
      </c>
    </row>
    <row r="7" spans="3:15" x14ac:dyDescent="0.25">
      <c r="D7" s="3" t="s">
        <v>29</v>
      </c>
      <c r="E7" s="11">
        <v>5</v>
      </c>
      <c r="F7" t="s">
        <v>30</v>
      </c>
      <c r="L7" t="s">
        <v>37</v>
      </c>
      <c r="M7">
        <f>(0.8988*M4+12.574)*EXP((0.0046*M4-0.8057)*E12)</f>
        <v>15.29026422124794</v>
      </c>
      <c r="N7">
        <f>(22.3784)*EXP(-0.8185*E12)</f>
        <v>26.358642449878477</v>
      </c>
    </row>
    <row r="8" spans="3:15" x14ac:dyDescent="0.25">
      <c r="D8" s="4" t="s">
        <v>77</v>
      </c>
      <c r="E8" s="39" t="s">
        <v>74</v>
      </c>
      <c r="F8" s="11">
        <v>0</v>
      </c>
      <c r="G8" t="s">
        <v>78</v>
      </c>
      <c r="L8" t="s">
        <v>38</v>
      </c>
      <c r="M8">
        <f>(-0.0029*M4-0.0011)*E12+(-0.0111*M4-0.0845)</f>
        <v>-8.9507337965802666E-2</v>
      </c>
      <c r="N8">
        <f>(-0.00748)*E12+(-0.07817)</f>
        <v>-7.6674000000000006E-2</v>
      </c>
    </row>
    <row r="9" spans="3:15" x14ac:dyDescent="0.25">
      <c r="D9" s="4" t="s">
        <v>76</v>
      </c>
      <c r="E9" s="6">
        <f>IF(E8="Paved",1,IF(E8="Low-Med Density",0.6,IF(E8="Bare Soil",0.1, IF(E8="Poorly Grassed",0, IF(E8="Average Grassed",-0.2,-0.5)))))</f>
        <v>0.6</v>
      </c>
      <c r="F9" t="s">
        <v>32</v>
      </c>
      <c r="L9" t="s">
        <v>39</v>
      </c>
      <c r="M9">
        <f>-0.0074*E12+(0.01*M4+0.3814)</f>
        <v>0.38784895243897588</v>
      </c>
      <c r="N9">
        <f>-0.00699*E12+0.38949</f>
        <v>0.39088800000000001</v>
      </c>
    </row>
    <row r="10" spans="3:15" x14ac:dyDescent="0.25">
      <c r="D10" s="4" t="s">
        <v>81</v>
      </c>
      <c r="E10" s="11" t="s">
        <v>65</v>
      </c>
      <c r="F10" s="37">
        <f>100-F8</f>
        <v>100</v>
      </c>
      <c r="G10" s="7" t="s">
        <v>82</v>
      </c>
      <c r="L10" t="s">
        <v>40</v>
      </c>
      <c r="M10">
        <f>(0.0013*M4-0.0041)*E12+(-0.0054*M4-0.0245)</f>
        <v>-2.6492427080460363E-2</v>
      </c>
      <c r="N10">
        <v>0</v>
      </c>
    </row>
    <row r="11" spans="3:15" x14ac:dyDescent="0.25">
      <c r="D11" s="4" t="s">
        <v>80</v>
      </c>
      <c r="E11" s="6">
        <f>IF(E10="Paved",1,IF(E10="Low-Med Density",0.6,IF(E10="Bare Soil",0.1, IF(E10="Poorly Grassed",0, IF(E10="Average Grassed",-0.2,-0.5)))))</f>
        <v>-0.2</v>
      </c>
      <c r="F11" t="s">
        <v>32</v>
      </c>
    </row>
    <row r="12" spans="3:15" x14ac:dyDescent="0.25">
      <c r="D12" s="4" t="s">
        <v>79</v>
      </c>
      <c r="E12" s="38">
        <f>(E9*F8+E11*F10)/100</f>
        <v>-0.2</v>
      </c>
      <c r="F12" t="s">
        <v>32</v>
      </c>
      <c r="K12" t="s">
        <v>0</v>
      </c>
      <c r="M12" s="5">
        <f>M5*E6^M6</f>
        <v>15.403539547410535</v>
      </c>
      <c r="N12" s="5">
        <f>N5*E6^N6</f>
        <v>27.321299675184058</v>
      </c>
      <c r="O12" t="s">
        <v>41</v>
      </c>
    </row>
    <row r="13" spans="3:15" x14ac:dyDescent="0.25">
      <c r="E13" s="43" t="str">
        <f>IF(AND(Area&gt;2,E4="Sheet Flow"),"Sheet Flow Method should not be used for Catchment Area &gt;2ha","")</f>
        <v/>
      </c>
      <c r="F13" s="43"/>
      <c r="G13" s="43"/>
      <c r="H13" s="43"/>
      <c r="I13" s="43"/>
      <c r="J13" s="43"/>
    </row>
    <row r="14" spans="3:15" x14ac:dyDescent="0.25">
      <c r="C14" t="s">
        <v>45</v>
      </c>
      <c r="E14" s="5">
        <f>MAX(5,IF(E4="Sheet Flow",N12,M12))</f>
        <v>15.403539547410535</v>
      </c>
      <c r="F14" t="s">
        <v>41</v>
      </c>
    </row>
  </sheetData>
  <sheetProtection password="CD7E" sheet="1" objects="1" scenarios="1" selectLockedCells="1"/>
  <mergeCells count="2">
    <mergeCell ref="E4:G4"/>
    <mergeCell ref="E13:J13"/>
  </mergeCells>
  <conditionalFormatting sqref="M4">
    <cfRule type="expression" dxfId="2" priority="2">
      <formula>OR($M$4&gt;4,$M$4&lt;0.4)</formula>
    </cfRule>
  </conditionalFormatting>
  <conditionalFormatting sqref="E13">
    <cfRule type="cellIs" dxfId="1" priority="1" operator="notEqual">
      <formula>""</formula>
    </cfRule>
  </conditionalFormatting>
  <dataValidations count="2">
    <dataValidation type="list" allowBlank="1" showInputMessage="1" showErrorMessage="1" sqref="E8 E10">
      <formula1>"Paved, Low-Med Density, Bare Soil, Poorly Grassed, Average Grassed, Densley Grassed"</formula1>
    </dataValidation>
    <dataValidation type="list" allowBlank="1" showInputMessage="1" showErrorMessage="1" sqref="E4">
      <formula1>"Channelised\Concentrated Flows, Sheet Flow"</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D4:M14"/>
  <sheetViews>
    <sheetView showGridLines="0" showRowColHeaders="0" workbookViewId="0">
      <selection activeCell="E8" sqref="E8"/>
    </sheetView>
  </sheetViews>
  <sheetFormatPr defaultRowHeight="15" x14ac:dyDescent="0.25"/>
  <sheetData>
    <row r="4" spans="4:13" x14ac:dyDescent="0.25">
      <c r="E4" s="7" t="s">
        <v>63</v>
      </c>
      <c r="K4" t="s">
        <v>33</v>
      </c>
    </row>
    <row r="5" spans="4:13" x14ac:dyDescent="0.25">
      <c r="D5" s="3" t="s">
        <v>58</v>
      </c>
      <c r="E5" s="6">
        <f>'Pre Dev ToC'!E5</f>
        <v>0.09</v>
      </c>
      <c r="F5" t="s">
        <v>26</v>
      </c>
      <c r="L5" t="s">
        <v>34</v>
      </c>
      <c r="M5">
        <f>-3.688*LN((0.5*(E6/100)^0.5)/E5)-0.9195</f>
        <v>0.49689524389759065</v>
      </c>
    </row>
    <row r="6" spans="4:13" x14ac:dyDescent="0.25">
      <c r="D6" s="3" t="s">
        <v>27</v>
      </c>
      <c r="E6" s="6">
        <f>'Pre Dev ToC'!E6</f>
        <v>1.5029999999999999</v>
      </c>
      <c r="F6" t="s">
        <v>28</v>
      </c>
      <c r="L6" t="s">
        <v>35</v>
      </c>
      <c r="M6">
        <f>M8*E7^M9</f>
        <v>5.9041526350029683</v>
      </c>
    </row>
    <row r="7" spans="4:13" x14ac:dyDescent="0.25">
      <c r="D7" s="3" t="s">
        <v>29</v>
      </c>
      <c r="E7" s="6">
        <f>'Pre Dev ToC'!E7</f>
        <v>5</v>
      </c>
      <c r="F7" t="s">
        <v>30</v>
      </c>
      <c r="L7" t="s">
        <v>36</v>
      </c>
      <c r="M7">
        <f>M10*E7^M11</f>
        <v>0.36254733164286385</v>
      </c>
    </row>
    <row r="8" spans="4:13" x14ac:dyDescent="0.25">
      <c r="D8" s="4" t="s">
        <v>31</v>
      </c>
      <c r="E8" s="11">
        <v>0.8</v>
      </c>
      <c r="F8" t="s">
        <v>32</v>
      </c>
      <c r="L8" t="s">
        <v>37</v>
      </c>
      <c r="M8">
        <f>(0.8988*M5+12.574)*EXP((0.0046*M5-0.8057)*E8)</f>
        <v>6.8469412422548075</v>
      </c>
    </row>
    <row r="9" spans="4:13" x14ac:dyDescent="0.25">
      <c r="L9" t="s">
        <v>38</v>
      </c>
      <c r="M9">
        <f>(-0.0029*M5-0.0011)*E8+(-0.0111*M5-0.0845)</f>
        <v>-9.2048334173105678E-2</v>
      </c>
    </row>
    <row r="10" spans="4:13" x14ac:dyDescent="0.25">
      <c r="L10" t="s">
        <v>39</v>
      </c>
      <c r="M10">
        <f>-0.0074*E8+(0.01*M5+0.3814)</f>
        <v>0.38044895243897592</v>
      </c>
    </row>
    <row r="11" spans="4:13" x14ac:dyDescent="0.25">
      <c r="L11" t="s">
        <v>40</v>
      </c>
      <c r="M11">
        <f>(0.0013*M5-0.0041)*E8+(-0.0054*M5-0.0245)</f>
        <v>-2.9946463263393498E-2</v>
      </c>
    </row>
    <row r="13" spans="4:13" x14ac:dyDescent="0.25">
      <c r="F13" s="10" t="str">
        <f>IF(OR(M5&gt;4,M5&lt;0.4),"Check Centroid distance to outlet, Shape is unusual","")</f>
        <v/>
      </c>
    </row>
    <row r="14" spans="4:13" x14ac:dyDescent="0.25">
      <c r="D14" t="s">
        <v>0</v>
      </c>
      <c r="E14" s="5">
        <f>MAX(5,M6*E6^M7)</f>
        <v>6.8440564447475918</v>
      </c>
      <c r="F14" t="s">
        <v>41</v>
      </c>
    </row>
  </sheetData>
  <sheetProtection password="CD7E" sheet="1" objects="1" scenarios="1" selectLockedCells="1"/>
  <conditionalFormatting sqref="M5">
    <cfRule type="expression" dxfId="0" priority="1">
      <formula>OR($M$5&gt;4,$M$5&lt;0.4)</formula>
    </cfRule>
  </conditionalFormatting>
  <dataValidations count="1">
    <dataValidation type="list" allowBlank="1" showInputMessage="1" showErrorMessage="1" sqref="E8">
      <formula1>"0,0.6,0.8,0.9,1.0"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3:Y28"/>
  <sheetViews>
    <sheetView showGridLines="0" showRowColHeaders="0" tabSelected="1" topLeftCell="A10" workbookViewId="0">
      <selection activeCell="C13" sqref="C13:J14"/>
    </sheetView>
  </sheetViews>
  <sheetFormatPr defaultRowHeight="15" x14ac:dyDescent="0.25"/>
  <cols>
    <col min="3" max="3" width="9.5703125" bestFit="1" customWidth="1"/>
    <col min="14" max="14" width="8.140625" customWidth="1"/>
  </cols>
  <sheetData>
    <row r="3" spans="2:11" ht="18.75" x14ac:dyDescent="0.3">
      <c r="B3" s="34" t="s">
        <v>73</v>
      </c>
    </row>
    <row r="4" spans="2:11" x14ac:dyDescent="0.25">
      <c r="B4" s="8" t="s">
        <v>42</v>
      </c>
    </row>
    <row r="5" spans="2:11" x14ac:dyDescent="0.25">
      <c r="B5" t="s">
        <v>0</v>
      </c>
      <c r="C5" s="5">
        <f>'Pre Dev ToC'!E14</f>
        <v>15.403539547410535</v>
      </c>
      <c r="D5" t="s">
        <v>41</v>
      </c>
    </row>
    <row r="6" spans="2:11" ht="17.25" x14ac:dyDescent="0.25">
      <c r="B6" t="s">
        <v>27</v>
      </c>
      <c r="C6">
        <f>Area/100</f>
        <v>1.5029999999999998E-2</v>
      </c>
      <c r="D6" s="7" t="s">
        <v>55</v>
      </c>
      <c r="E6" s="7"/>
    </row>
    <row r="7" spans="2:11" x14ac:dyDescent="0.25">
      <c r="B7" t="s">
        <v>52</v>
      </c>
      <c r="C7" s="38">
        <f>IF('Pre Dev ToC'!E12&lt;0,0.8,'Pre Dev ToC'!E12/10+0.8)</f>
        <v>0.8</v>
      </c>
    </row>
    <row r="9" spans="2:11" x14ac:dyDescent="0.25">
      <c r="B9" s="20" t="s">
        <v>62</v>
      </c>
      <c r="C9" s="21">
        <v>0.63200000000000001</v>
      </c>
      <c r="D9" s="22" t="s">
        <v>4</v>
      </c>
      <c r="E9" s="23">
        <v>0.39</v>
      </c>
      <c r="F9" s="22" t="s">
        <v>5</v>
      </c>
      <c r="G9" s="23">
        <v>0.1</v>
      </c>
      <c r="H9" s="23">
        <v>0.05</v>
      </c>
      <c r="I9" s="23">
        <v>0.02</v>
      </c>
      <c r="J9" s="23">
        <v>0.01</v>
      </c>
      <c r="K9" s="6"/>
    </row>
    <row r="10" spans="2:11" x14ac:dyDescent="0.25">
      <c r="B10" s="20" t="s">
        <v>1</v>
      </c>
      <c r="C10" s="24">
        <f ca="1">'BoM Pt IFD'!E$35/('MRM Peak Flow'!$C$5/60)</f>
        <v>84.292271733570473</v>
      </c>
      <c r="D10" s="24">
        <f ca="1">'BoM Pt IFD'!F$35/('MRM Peak Flow'!$C$5/60)</f>
        <v>94.690101076193059</v>
      </c>
      <c r="E10" s="24">
        <f ca="1">D10+(LOG(2.54)-LOG(2))/(LOG(5)-LOG(2))*(F10-D10)</f>
        <v>103.06220829815275</v>
      </c>
      <c r="F10" s="24">
        <f ca="1">'BoM Pt IFD'!G$35/('MRM Peak Flow'!$C$5/60)</f>
        <v>126.78525517884262</v>
      </c>
      <c r="G10" s="24">
        <f ca="1">'BoM Pt IFD'!H$35/('MRM Peak Flow'!$C$5/60)</f>
        <v>147.60366773324716</v>
      </c>
      <c r="H10" s="24">
        <f ca="1">'BoM Pt IFD'!I$35/('MRM Peak Flow'!$C$5/60)</f>
        <v>167.45037933803044</v>
      </c>
      <c r="I10" s="24">
        <f ca="1">'BoM Pt IFD'!J$35/('MRM Peak Flow'!$C$5/60)</f>
        <v>193.23215210954362</v>
      </c>
      <c r="J10" s="24">
        <f ca="1">'BoM Pt IFD'!K$35/('MRM Peak Flow'!$C$5/60)</f>
        <v>212.1141170363646</v>
      </c>
      <c r="K10" s="6" t="s">
        <v>53</v>
      </c>
    </row>
    <row r="11" spans="2:11" x14ac:dyDescent="0.25">
      <c r="B11" s="20" t="s">
        <v>60</v>
      </c>
      <c r="C11" s="25">
        <v>0.9</v>
      </c>
      <c r="D11" s="25">
        <v>0.91800000000000004</v>
      </c>
      <c r="E11" s="25">
        <v>0.92500000000000004</v>
      </c>
      <c r="F11" s="25">
        <v>0.97499999999999998</v>
      </c>
      <c r="G11" s="25">
        <v>1</v>
      </c>
      <c r="H11" s="25">
        <v>1.0249999999999999</v>
      </c>
      <c r="I11" s="25">
        <v>1.075</v>
      </c>
      <c r="J11" s="25">
        <v>1.1000000000000001</v>
      </c>
      <c r="K11" s="6"/>
    </row>
    <row r="12" spans="2:11" x14ac:dyDescent="0.25">
      <c r="B12" s="20" t="s">
        <v>59</v>
      </c>
      <c r="C12" s="26">
        <f>C11*$C$7</f>
        <v>0.72000000000000008</v>
      </c>
      <c r="D12" s="26">
        <f t="shared" ref="D12:J12" si="0">D11*$C$7</f>
        <v>0.73440000000000005</v>
      </c>
      <c r="E12" s="26">
        <f t="shared" ref="E12" si="1">E11*$C$7</f>
        <v>0.7400000000000001</v>
      </c>
      <c r="F12" s="26">
        <f t="shared" si="0"/>
        <v>0.78</v>
      </c>
      <c r="G12" s="26">
        <f t="shared" si="0"/>
        <v>0.8</v>
      </c>
      <c r="H12" s="26">
        <f t="shared" si="0"/>
        <v>0.82</v>
      </c>
      <c r="I12" s="26">
        <f t="shared" si="0"/>
        <v>0.86</v>
      </c>
      <c r="J12" s="26">
        <f t="shared" si="0"/>
        <v>0.88000000000000012</v>
      </c>
      <c r="K12" s="6"/>
    </row>
    <row r="13" spans="2:11" ht="17.25" x14ac:dyDescent="0.25">
      <c r="B13" s="27" t="s">
        <v>61</v>
      </c>
      <c r="C13" s="40">
        <f ca="1">C10*$C$18*C12/3.6</f>
        <v>0.25338256883111282</v>
      </c>
      <c r="D13" s="40">
        <f t="shared" ref="D13:J13" ca="1" si="2">D10*$C$18*D12/3.6</f>
        <v>0.29033121271173706</v>
      </c>
      <c r="E13" s="40">
        <f t="shared" ref="E13" ca="1" si="3">E10*$C$18*E12/3.6</f>
        <v>0.31841069253714294</v>
      </c>
      <c r="F13" s="40">
        <f t="shared" ca="1" si="2"/>
        <v>0.41287618348990091</v>
      </c>
      <c r="G13" s="40">
        <f t="shared" ca="1" si="2"/>
        <v>0.49299625022904547</v>
      </c>
      <c r="H13" s="40">
        <f t="shared" ca="1" si="2"/>
        <v>0.57326637366374711</v>
      </c>
      <c r="I13" s="40">
        <f t="shared" ca="1" si="2"/>
        <v>0.69380004214931634</v>
      </c>
      <c r="J13" s="41">
        <f t="shared" ca="1" si="2"/>
        <v>0.7793072659916036</v>
      </c>
      <c r="K13" s="28" t="s">
        <v>54</v>
      </c>
    </row>
    <row r="14" spans="2:11" ht="17.25" x14ac:dyDescent="0.25">
      <c r="B14" s="27" t="s">
        <v>64</v>
      </c>
      <c r="C14" s="40">
        <f ca="1">1.2*C10*$C$6*C12/3.6</f>
        <v>0.30405908259733538</v>
      </c>
      <c r="D14" s="40">
        <f t="shared" ref="D14:J14" ca="1" si="4">1.2*D10*$C$6*D12/3.6</f>
        <v>0.34839745525408444</v>
      </c>
      <c r="E14" s="40">
        <f t="shared" ca="1" si="4"/>
        <v>0.38209283104457153</v>
      </c>
      <c r="F14" s="40">
        <f t="shared" ca="1" si="4"/>
        <v>0.49545142018788113</v>
      </c>
      <c r="G14" s="40">
        <f t="shared" ca="1" si="4"/>
        <v>0.59159550027485452</v>
      </c>
      <c r="H14" s="40">
        <f t="shared" ca="1" si="4"/>
        <v>0.68791964839649655</v>
      </c>
      <c r="I14" s="40">
        <f t="shared" ca="1" si="4"/>
        <v>0.83256005057917948</v>
      </c>
      <c r="J14" s="41">
        <f t="shared" ca="1" si="4"/>
        <v>0.93516871918992417</v>
      </c>
      <c r="K14" s="28" t="s">
        <v>54</v>
      </c>
    </row>
    <row r="15" spans="2:11" x14ac:dyDescent="0.25">
      <c r="J15" s="7"/>
    </row>
    <row r="16" spans="2:11" x14ac:dyDescent="0.25">
      <c r="B16" s="8" t="s">
        <v>63</v>
      </c>
    </row>
    <row r="17" spans="2:25" x14ac:dyDescent="0.25">
      <c r="B17" t="s">
        <v>0</v>
      </c>
      <c r="C17" s="5">
        <f>'Post Dev ToC'!E14</f>
        <v>6.8440564447475918</v>
      </c>
      <c r="D17" t="s">
        <v>41</v>
      </c>
    </row>
    <row r="18" spans="2:25" ht="17.25" x14ac:dyDescent="0.25">
      <c r="B18" t="s">
        <v>27</v>
      </c>
      <c r="C18">
        <f>'Post Dev ToC'!E6/100</f>
        <v>1.5029999999999998E-2</v>
      </c>
      <c r="D18" s="7" t="s">
        <v>55</v>
      </c>
      <c r="E18" s="7"/>
    </row>
    <row r="19" spans="2:25" x14ac:dyDescent="0.25">
      <c r="B19" t="s">
        <v>52</v>
      </c>
      <c r="C19">
        <f>IF('Post Dev ToC'!E8&lt;0,0.8,0.8+'Post Dev ToC'!E8/10)</f>
        <v>0.88</v>
      </c>
    </row>
    <row r="21" spans="2:25" x14ac:dyDescent="0.25">
      <c r="B21" s="20" t="s">
        <v>62</v>
      </c>
      <c r="C21" s="21">
        <v>0.63200000000000001</v>
      </c>
      <c r="D21" s="22" t="s">
        <v>4</v>
      </c>
      <c r="E21" s="23">
        <v>0.39</v>
      </c>
      <c r="F21" s="22" t="s">
        <v>5</v>
      </c>
      <c r="G21" s="23">
        <v>0.1</v>
      </c>
      <c r="H21" s="23">
        <v>0.05</v>
      </c>
      <c r="I21" s="23">
        <v>0.02</v>
      </c>
      <c r="J21" s="23">
        <v>0.01</v>
      </c>
    </row>
    <row r="22" spans="2:25" x14ac:dyDescent="0.25">
      <c r="B22" s="20" t="s">
        <v>1</v>
      </c>
      <c r="C22" s="24">
        <f ca="1">'BoM Pt IFD'!E$44/('MRM Peak Flow'!$C$17/60)</f>
        <v>113.37292466415961</v>
      </c>
      <c r="D22" s="24">
        <f ca="1">'BoM Pt IFD'!F$44/('MRM Peak Flow'!$C$17/60)</f>
        <v>128.1935071998042</v>
      </c>
      <c r="E22" s="24">
        <f ca="1">D22+(LOG(2.54)-LOG(2))/(LOG(5)-LOG(2))*(F22-D22)</f>
        <v>139.68193558335332</v>
      </c>
      <c r="F22" s="24">
        <f ca="1">'BoM Pt IFD'!G$44/('MRM Peak Flow'!$C$17/60)</f>
        <v>172.23533198677265</v>
      </c>
      <c r="G22" s="24">
        <f ca="1">'BoM Pt IFD'!H$44/('MRM Peak Flow'!$C$17/60)</f>
        <v>201.45486576220898</v>
      </c>
      <c r="H22" s="24">
        <f ca="1">'BoM Pt IFD'!I$44/('MRM Peak Flow'!$C$17/60)</f>
        <v>230.24939719382419</v>
      </c>
      <c r="I22" s="24">
        <f ca="1">'BoM Pt IFD'!J$44/('MRM Peak Flow'!$C$17/60)</f>
        <v>267.8234530674203</v>
      </c>
      <c r="J22" s="24">
        <f ca="1">'BoM Pt IFD'!K$44/('MRM Peak Flow'!$C$17/60)</f>
        <v>296.18120231567326</v>
      </c>
      <c r="K22" t="s">
        <v>53</v>
      </c>
    </row>
    <row r="23" spans="2:25" x14ac:dyDescent="0.25">
      <c r="B23" s="20" t="s">
        <v>60</v>
      </c>
      <c r="C23" s="25">
        <v>0.9</v>
      </c>
      <c r="D23" s="25">
        <v>0.91800000000000004</v>
      </c>
      <c r="E23" s="25">
        <v>0.92500000000000004</v>
      </c>
      <c r="F23" s="25">
        <v>0.97499999999999998</v>
      </c>
      <c r="G23" s="25">
        <v>1</v>
      </c>
      <c r="H23" s="25">
        <v>1.0249999999999999</v>
      </c>
      <c r="I23" s="25">
        <v>1.075</v>
      </c>
      <c r="J23" s="25">
        <v>1.1000000000000001</v>
      </c>
    </row>
    <row r="24" spans="2:25" x14ac:dyDescent="0.25">
      <c r="B24" s="20" t="s">
        <v>59</v>
      </c>
      <c r="C24" s="26">
        <f>C23*$C$19</f>
        <v>0.79200000000000004</v>
      </c>
      <c r="D24" s="26">
        <f t="shared" ref="D24:J24" si="5">D23*$C$19</f>
        <v>0.80784</v>
      </c>
      <c r="E24" s="26">
        <f t="shared" ref="E24" si="6">E23*$C$19</f>
        <v>0.81400000000000006</v>
      </c>
      <c r="F24" s="26">
        <f t="shared" si="5"/>
        <v>0.85799999999999998</v>
      </c>
      <c r="G24" s="26">
        <f t="shared" si="5"/>
        <v>0.88</v>
      </c>
      <c r="H24" s="26">
        <f>H23*$C$19</f>
        <v>0.90199999999999991</v>
      </c>
      <c r="I24" s="26">
        <f t="shared" si="5"/>
        <v>0.94599999999999995</v>
      </c>
      <c r="J24" s="26">
        <f t="shared" si="5"/>
        <v>0.96800000000000008</v>
      </c>
    </row>
    <row r="25" spans="2:25" ht="17.25" x14ac:dyDescent="0.25">
      <c r="B25" s="27" t="s">
        <v>61</v>
      </c>
      <c r="C25" s="40">
        <f ca="1">C22*$C$18*C24/3.6</f>
        <v>0.37487891269451018</v>
      </c>
      <c r="D25" s="40">
        <f t="shared" ref="D25:I25" ca="1" si="7">D22*$C$18*D24/3.6</f>
        <v>0.43236234392500994</v>
      </c>
      <c r="E25" s="40">
        <f t="shared" ca="1" si="7"/>
        <v>0.47470207398324704</v>
      </c>
      <c r="F25" s="40">
        <f t="shared" ca="1" si="7"/>
        <v>0.61697279447641751</v>
      </c>
      <c r="G25" s="40">
        <f t="shared" ca="1" si="7"/>
        <v>0.74014517681035585</v>
      </c>
      <c r="H25" s="40">
        <f t="shared" ca="1" si="7"/>
        <v>0.86708469242236275</v>
      </c>
      <c r="I25" s="40">
        <f t="shared" ca="1" si="7"/>
        <v>1.0577821190624297</v>
      </c>
      <c r="J25" s="41">
        <f ca="1">J22*$C$18*J24/3.6</f>
        <v>1.1969867110385617</v>
      </c>
      <c r="K25" s="7" t="s">
        <v>54</v>
      </c>
    </row>
    <row r="26" spans="2:25" ht="17.25" x14ac:dyDescent="0.25">
      <c r="B26" s="27" t="s">
        <v>64</v>
      </c>
      <c r="C26" s="40">
        <f ca="1">1.2*C22*$C$18*C24/3.6</f>
        <v>0.44985469523341209</v>
      </c>
      <c r="D26" s="40">
        <f t="shared" ref="D26:I26" ca="1" si="8">1.2*D22*$C$18*D24/3.6</f>
        <v>0.51883481271001197</v>
      </c>
      <c r="E26" s="40">
        <f t="shared" ca="1" si="8"/>
        <v>0.56964248877989643</v>
      </c>
      <c r="F26" s="40">
        <f t="shared" ca="1" si="8"/>
        <v>0.74036735337170112</v>
      </c>
      <c r="G26" s="40">
        <f t="shared" ca="1" si="8"/>
        <v>0.88817421217242676</v>
      </c>
      <c r="H26" s="40">
        <f t="shared" ca="1" si="8"/>
        <v>1.0405016309068349</v>
      </c>
      <c r="I26" s="40">
        <f t="shared" ca="1" si="8"/>
        <v>1.2693385428749155</v>
      </c>
      <c r="J26" s="41">
        <f ca="1">1.2*J22*$C$18*J24/3.6</f>
        <v>1.4363840532462744</v>
      </c>
      <c r="K26" s="7" t="s">
        <v>54</v>
      </c>
    </row>
    <row r="27" spans="2:25" x14ac:dyDescent="0.25">
      <c r="J27" s="7"/>
      <c r="N27" s="16"/>
      <c r="O27" s="17"/>
      <c r="P27" s="18"/>
      <c r="V27" s="16"/>
      <c r="W27" s="17"/>
      <c r="X27" s="18"/>
    </row>
    <row r="28" spans="2:25" x14ac:dyDescent="0.25">
      <c r="N28" s="16"/>
      <c r="O28" s="17"/>
      <c r="P28" s="18"/>
      <c r="Q28" s="18"/>
      <c r="V28" s="16"/>
      <c r="W28" s="17"/>
      <c r="X28" s="18"/>
      <c r="Y28" s="18"/>
    </row>
  </sheetData>
  <sheetProtection password="CD7E"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J14"/>
  <sheetViews>
    <sheetView showGridLines="0" showRowColHeaders="0" workbookViewId="0">
      <selection activeCell="B12" sqref="B12:J14"/>
    </sheetView>
  </sheetViews>
  <sheetFormatPr defaultRowHeight="15" x14ac:dyDescent="0.25"/>
  <sheetData>
    <row r="3" spans="2:10" ht="18.75" x14ac:dyDescent="0.3">
      <c r="B3" s="33" t="s">
        <v>72</v>
      </c>
    </row>
    <row r="5" spans="2:10" ht="23.25" x14ac:dyDescent="0.35">
      <c r="B5" s="32" t="str">
        <f>IF(Area&gt;1500,"","This method only applies to catchments greater than 15 sq. km")</f>
        <v>This method only applies to catchments greater than 15 sq. km</v>
      </c>
    </row>
    <row r="7" spans="2:10" ht="17.25" x14ac:dyDescent="0.25">
      <c r="B7" t="s">
        <v>27</v>
      </c>
      <c r="C7">
        <f>Area/100</f>
        <v>1.5029999999999998E-2</v>
      </c>
      <c r="D7" s="7" t="s">
        <v>55</v>
      </c>
      <c r="E7" t="s">
        <v>67</v>
      </c>
    </row>
    <row r="8" spans="2:10" hidden="1" x14ac:dyDescent="0.25">
      <c r="B8" t="s">
        <v>62</v>
      </c>
      <c r="C8" t="s">
        <v>68</v>
      </c>
    </row>
    <row r="9" spans="2:10" hidden="1" x14ac:dyDescent="0.25">
      <c r="B9" s="2">
        <v>0.01</v>
      </c>
      <c r="C9" t="str">
        <f>IF(C7&gt;15,22.954*C7^0.8, "NA")</f>
        <v>NA</v>
      </c>
      <c r="E9" s="7" t="s">
        <v>69</v>
      </c>
      <c r="G9" t="e">
        <f>(C9-C10)/(LOG(J12/G12))</f>
        <v>#VALUE!</v>
      </c>
    </row>
    <row r="10" spans="2:10" hidden="1" x14ac:dyDescent="0.25">
      <c r="B10" s="2">
        <v>0.1</v>
      </c>
      <c r="C10" t="str">
        <f>IF(C7&gt;15,18.598*C7^0.7,"NA")</f>
        <v>NA</v>
      </c>
      <c r="E10" s="7" t="s">
        <v>70</v>
      </c>
      <c r="G10">
        <f ca="1">(J13-G13)/(LOG(J12/G12))</f>
        <v>-0.28631101576255813</v>
      </c>
      <c r="H10" s="7" t="s">
        <v>71</v>
      </c>
      <c r="J10">
        <f ca="1">(G13-C13)/LOG(G12/C12)</f>
        <v>-0.29924887066468847</v>
      </c>
    </row>
    <row r="12" spans="2:10" x14ac:dyDescent="0.25">
      <c r="B12" s="20" t="s">
        <v>62</v>
      </c>
      <c r="C12" s="21">
        <v>0.63200000000000001</v>
      </c>
      <c r="D12" s="23">
        <v>0.5</v>
      </c>
      <c r="E12" s="23">
        <v>0.39</v>
      </c>
      <c r="F12" s="30">
        <v>0.2</v>
      </c>
      <c r="G12" s="23">
        <v>0.1</v>
      </c>
      <c r="H12" s="23">
        <v>0.05</v>
      </c>
      <c r="I12" s="23">
        <v>0.02</v>
      </c>
      <c r="J12" s="23">
        <v>0.01</v>
      </c>
    </row>
    <row r="13" spans="2:10" hidden="1" x14ac:dyDescent="0.25">
      <c r="B13" s="20"/>
      <c r="C13" s="31">
        <f ca="1">'MRM Peak Flow'!C13</f>
        <v>0.25338256883111282</v>
      </c>
      <c r="D13" s="31">
        <f ca="1">'MRM Peak Flow'!D13</f>
        <v>0.29033121271173706</v>
      </c>
      <c r="E13" s="31">
        <f ca="1">'MRM Peak Flow'!E13</f>
        <v>0.31841069253714294</v>
      </c>
      <c r="F13" s="31">
        <f ca="1">'MRM Peak Flow'!F13</f>
        <v>0.41287618348990091</v>
      </c>
      <c r="G13" s="31">
        <f ca="1">'MRM Peak Flow'!G13</f>
        <v>0.49299625022904547</v>
      </c>
      <c r="H13" s="31">
        <f ca="1">'MRM Peak Flow'!H13</f>
        <v>0.57326637366374711</v>
      </c>
      <c r="I13" s="31">
        <f ca="1">'MRM Peak Flow'!I13</f>
        <v>0.69380004214931634</v>
      </c>
      <c r="J13" s="31">
        <f ca="1">'MRM Peak Flow'!J13</f>
        <v>0.7793072659916036</v>
      </c>
    </row>
    <row r="14" spans="2:10" x14ac:dyDescent="0.25">
      <c r="B14" s="27" t="s">
        <v>61</v>
      </c>
      <c r="C14" s="35" t="e">
        <f ca="1">$G$14-($G$9*$J$10/$G$10)*LOG($G$12/C12)</f>
        <v>#VALUE!</v>
      </c>
      <c r="D14" s="35" t="e">
        <f ca="1">$G$14-($G$9*$J$10/$G$10)*LOG($G$12/D12)</f>
        <v>#VALUE!</v>
      </c>
      <c r="E14" s="35" t="e">
        <f ca="1">$G$14-($G$9*$J$10/$G$10)*LOG($G$12/E12)</f>
        <v>#VALUE!</v>
      </c>
      <c r="F14" s="35" t="e">
        <f ca="1">$G$14-($G$9*$J$10/$G$10)*LOG($G$12/F12)</f>
        <v>#VALUE!</v>
      </c>
      <c r="G14" s="36" t="str">
        <f>C10</f>
        <v>NA</v>
      </c>
      <c r="H14" s="35" t="e">
        <f>$J$14-($G$9)*LOG($J$12/H12)</f>
        <v>#VALUE!</v>
      </c>
      <c r="I14" s="35" t="e">
        <f>$J$14-($G$9)*LOG($J$12/I12)</f>
        <v>#VALUE!</v>
      </c>
      <c r="J14" s="36" t="str">
        <f>C9</f>
        <v>NA</v>
      </c>
    </row>
  </sheetData>
  <sheetProtection password="CD7E"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BoM Pt IFD</vt:lpstr>
      <vt:lpstr>Pre Dev ToC</vt:lpstr>
      <vt:lpstr>Post Dev ToC</vt:lpstr>
      <vt:lpstr>MRM Peak Flow</vt:lpstr>
      <vt:lpstr>RFFE Peak Flow</vt:lpstr>
      <vt:lpstr>Area</vt:lpstr>
    </vt:vector>
  </TitlesOfParts>
  <Company>SCC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Crispin Smythe</dc:creator>
  <cp:lastModifiedBy>Crispin Smythe</cp:lastModifiedBy>
  <dcterms:created xsi:type="dcterms:W3CDTF">2017-06-14T04:07:32Z</dcterms:created>
  <dcterms:modified xsi:type="dcterms:W3CDTF">2020-11-04T00:07:27Z</dcterms:modified>
</cp:coreProperties>
</file>